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<sst xmlns="http://schemas.openxmlformats.org/spreadsheetml/2006/main" count="104" uniqueCount="104">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</sst>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P15" sqref="P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42503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0">
        <f>ROUND(1.69,5)</f>
        <v>1.69</v>
      </c>
      <c r="D6" s="20">
        <f>F6</f>
        <v>1.69</v>
      </c>
      <c r="E6" s="20">
        <f>F6</f>
        <v>1.69</v>
      </c>
      <c r="F6" s="20">
        <f>ROUND(1.69,5)</f>
        <v>1.69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0">
        <f>ROUND(1.78,5)</f>
        <v>1.78</v>
      </c>
      <c r="D8" s="20">
        <f>F8</f>
        <v>1.78</v>
      </c>
      <c r="E8" s="20">
        <f>F8</f>
        <v>1.78</v>
      </c>
      <c r="F8" s="20">
        <f>ROUND(1.78,5)</f>
        <v>1.78</v>
      </c>
      <c r="G8" s="19"/>
      <c r="H8" s="29"/>
    </row>
    <row r="9" spans="1:8" ht="12.75" customHeight="1">
      <c r="A9" s="31" t="s">
        <v>14</v>
      </c>
      <c r="B9" s="31"/>
      <c r="C9" s="21"/>
      <c r="D9" s="21"/>
      <c r="E9" s="21"/>
      <c r="F9" s="21"/>
      <c r="G9" s="19"/>
      <c r="H9" s="29"/>
    </row>
    <row r="10" spans="1:8" ht="12.75" customHeight="1">
      <c r="A10" s="31">
        <v>55153</v>
      </c>
      <c r="B10" s="31"/>
      <c r="C10" s="20">
        <f>ROUND(1.92,5)</f>
        <v>1.92</v>
      </c>
      <c r="D10" s="20">
        <f>F10</f>
        <v>1.92</v>
      </c>
      <c r="E10" s="20">
        <f>F10</f>
        <v>1.92</v>
      </c>
      <c r="F10" s="20">
        <f>ROUND(1.92,5)</f>
        <v>1.92</v>
      </c>
      <c r="G10" s="19"/>
      <c r="H10" s="29"/>
    </row>
    <row r="11" spans="1:8" ht="12.75" customHeight="1">
      <c r="A11" s="31" t="s">
        <v>15</v>
      </c>
      <c r="B11" s="31"/>
      <c r="C11" s="21"/>
      <c r="D11" s="21"/>
      <c r="E11" s="21"/>
      <c r="F11" s="21"/>
      <c r="G11" s="19"/>
      <c r="H11" s="29"/>
    </row>
    <row r="12" spans="1:8" ht="12.75" customHeight="1">
      <c r="A12" s="31">
        <v>46875</v>
      </c>
      <c r="B12" s="31"/>
      <c r="C12" s="20">
        <f>ROUND(2.2,5)</f>
        <v>2.2</v>
      </c>
      <c r="D12" s="20">
        <f>F12</f>
        <v>2.2</v>
      </c>
      <c r="E12" s="20">
        <f>F12</f>
        <v>2.2</v>
      </c>
      <c r="F12" s="20">
        <f>ROUND(2.2,5)</f>
        <v>2.2</v>
      </c>
      <c r="G12" s="19"/>
      <c r="H12" s="29"/>
    </row>
    <row r="13" spans="1:8" ht="12.75" customHeight="1">
      <c r="A13" s="31" t="s">
        <v>16</v>
      </c>
      <c r="B13" s="31"/>
      <c r="C13" s="21"/>
      <c r="D13" s="21"/>
      <c r="E13" s="21"/>
      <c r="F13" s="21"/>
      <c r="G13" s="19"/>
      <c r="H13" s="29"/>
    </row>
    <row r="14" spans="1:8" ht="12.75" customHeight="1">
      <c r="A14" s="31">
        <v>48837</v>
      </c>
      <c r="B14" s="31"/>
      <c r="C14" s="20">
        <f>ROUND(10.69,5)</f>
        <v>10.69</v>
      </c>
      <c r="D14" s="20">
        <f>F14</f>
        <v>10.69</v>
      </c>
      <c r="E14" s="20">
        <f>F14</f>
        <v>10.69</v>
      </c>
      <c r="F14" s="20">
        <f>ROUND(10.69,5)</f>
        <v>10.69</v>
      </c>
      <c r="G14" s="19"/>
      <c r="H14" s="29"/>
    </row>
    <row r="15" spans="1:8" ht="12.75" customHeight="1">
      <c r="A15" s="31" t="s">
        <v>17</v>
      </c>
      <c r="B15" s="31"/>
      <c r="C15" s="21"/>
      <c r="D15" s="21"/>
      <c r="E15" s="21"/>
      <c r="F15" s="21"/>
      <c r="G15" s="19"/>
      <c r="H15" s="29"/>
    </row>
    <row r="16" spans="1:8" ht="12.75" customHeight="1">
      <c r="A16" s="31">
        <v>44985</v>
      </c>
      <c r="B16" s="31"/>
      <c r="C16" s="20">
        <f>ROUND(8.97,5)</f>
        <v>8.97</v>
      </c>
      <c r="D16" s="20">
        <f>F16</f>
        <v>8.97</v>
      </c>
      <c r="E16" s="20">
        <f>F16</f>
        <v>8.97</v>
      </c>
      <c r="F16" s="20">
        <f>ROUND(8.97,5)</f>
        <v>8.97</v>
      </c>
      <c r="G16" s="19"/>
      <c r="H16" s="29"/>
    </row>
    <row r="17" spans="1:8" ht="12.75" customHeight="1">
      <c r="A17" s="31" t="s">
        <v>18</v>
      </c>
      <c r="B17" s="31"/>
      <c r="C17" s="21"/>
      <c r="D17" s="21"/>
      <c r="E17" s="21"/>
      <c r="F17" s="21"/>
      <c r="G17" s="19"/>
      <c r="H17" s="29"/>
    </row>
    <row r="18" spans="1:8" ht="12.75" customHeight="1">
      <c r="A18" s="31">
        <v>46377</v>
      </c>
      <c r="B18" s="31"/>
      <c r="C18" s="22">
        <f>ROUND(9.2,3)</f>
        <v>9.2</v>
      </c>
      <c r="D18" s="22">
        <f>F18</f>
        <v>9.2</v>
      </c>
      <c r="E18" s="22">
        <f>F18</f>
        <v>9.2</v>
      </c>
      <c r="F18" s="22">
        <f>ROUND(9.2,3)</f>
        <v>9.2</v>
      </c>
      <c r="G18" s="19"/>
      <c r="H18" s="29"/>
    </row>
    <row r="19" spans="1:8" ht="12.75" customHeight="1">
      <c r="A19" s="31" t="s">
        <v>19</v>
      </c>
      <c r="B19" s="31"/>
      <c r="C19" s="21"/>
      <c r="D19" s="21"/>
      <c r="E19" s="21"/>
      <c r="F19" s="21"/>
      <c r="G19" s="19"/>
      <c r="H19" s="29"/>
    </row>
    <row r="20" spans="1:8" ht="12.75" customHeight="1">
      <c r="A20" s="31">
        <v>45267</v>
      </c>
      <c r="B20" s="31"/>
      <c r="C20" s="22">
        <f>ROUND(1.61,3)</f>
        <v>1.61</v>
      </c>
      <c r="D20" s="22">
        <f>F20</f>
        <v>1.61</v>
      </c>
      <c r="E20" s="22">
        <f>F20</f>
        <v>1.61</v>
      </c>
      <c r="F20" s="22">
        <f>ROUND(1.61,3)</f>
        <v>1.61</v>
      </c>
      <c r="G20" s="19"/>
      <c r="H20" s="29"/>
    </row>
    <row r="21" spans="1:8" ht="12.75" customHeight="1">
      <c r="A21" s="31" t="s">
        <v>20</v>
      </c>
      <c r="B21" s="31"/>
      <c r="C21" s="21"/>
      <c r="D21" s="21"/>
      <c r="E21" s="21"/>
      <c r="F21" s="21"/>
      <c r="G21" s="19"/>
      <c r="H21" s="29"/>
    </row>
    <row r="22" spans="1:8" ht="12.75" customHeight="1">
      <c r="A22" s="31">
        <v>48920</v>
      </c>
      <c r="B22" s="31"/>
      <c r="C22" s="22">
        <f>ROUND(1.74,3)</f>
        <v>1.74</v>
      </c>
      <c r="D22" s="22">
        <f>F22</f>
        <v>1.74</v>
      </c>
      <c r="E22" s="22">
        <f>F22</f>
        <v>1.74</v>
      </c>
      <c r="F22" s="22">
        <f>ROUND(1.74,3)</f>
        <v>1.74</v>
      </c>
      <c r="G22" s="19"/>
      <c r="H22" s="29"/>
    </row>
    <row r="23" spans="1:8" ht="12.75" customHeight="1">
      <c r="A23" s="31" t="s">
        <v>21</v>
      </c>
      <c r="B23" s="31"/>
      <c r="C23" s="21"/>
      <c r="D23" s="21"/>
      <c r="E23" s="21"/>
      <c r="F23" s="21"/>
      <c r="G23" s="19"/>
      <c r="H23" s="29"/>
    </row>
    <row r="24" spans="1:8" ht="12.75" customHeight="1">
      <c r="A24" s="31">
        <v>42993</v>
      </c>
      <c r="B24" s="31"/>
      <c r="C24" s="22">
        <f>ROUND(7.925,3)</f>
        <v>7.925</v>
      </c>
      <c r="D24" s="22">
        <f>F24</f>
        <v>7.925</v>
      </c>
      <c r="E24" s="22">
        <f>F24</f>
        <v>7.925</v>
      </c>
      <c r="F24" s="22">
        <f>ROUND(7.925,3)</f>
        <v>7.925</v>
      </c>
      <c r="G24" s="19"/>
      <c r="H24" s="29"/>
    </row>
    <row r="25" spans="1:8" ht="12.75" customHeight="1">
      <c r="A25" s="31" t="s">
        <v>22</v>
      </c>
      <c r="B25" s="31"/>
      <c r="C25" s="21"/>
      <c r="D25" s="21"/>
      <c r="E25" s="21"/>
      <c r="F25" s="21"/>
      <c r="G25" s="19"/>
      <c r="H25" s="29"/>
    </row>
    <row r="26" spans="1:8" ht="12.75" customHeight="1">
      <c r="A26" s="31">
        <v>43455</v>
      </c>
      <c r="B26" s="31"/>
      <c r="C26" s="22">
        <f>ROUND(8.31,3)</f>
        <v>8.31</v>
      </c>
      <c r="D26" s="22">
        <f>F26</f>
        <v>8.31</v>
      </c>
      <c r="E26" s="22">
        <f>F26</f>
        <v>8.31</v>
      </c>
      <c r="F26" s="22">
        <f>ROUND(8.31,3)</f>
        <v>8.31</v>
      </c>
      <c r="G26" s="19"/>
      <c r="H26" s="29"/>
    </row>
    <row r="27" spans="1:8" ht="12.75" customHeight="1">
      <c r="A27" s="31" t="s">
        <v>23</v>
      </c>
      <c r="B27" s="31"/>
      <c r="C27" s="21"/>
      <c r="D27" s="21"/>
      <c r="E27" s="21"/>
      <c r="F27" s="21"/>
      <c r="G27" s="19"/>
      <c r="H27" s="29"/>
    </row>
    <row r="28" spans="1:8" ht="12.75" customHeight="1">
      <c r="A28" s="31">
        <v>43845</v>
      </c>
      <c r="B28" s="31"/>
      <c r="C28" s="22">
        <f>ROUND(8.58,3)</f>
        <v>8.58</v>
      </c>
      <c r="D28" s="22">
        <f>F28</f>
        <v>8.58</v>
      </c>
      <c r="E28" s="22">
        <f>F28</f>
        <v>8.58</v>
      </c>
      <c r="F28" s="22">
        <f>ROUND(8.58,3)</f>
        <v>8.58</v>
      </c>
      <c r="G28" s="19"/>
      <c r="H28" s="29"/>
    </row>
    <row r="29" spans="1:8" ht="12.75" customHeight="1">
      <c r="A29" s="31" t="s">
        <v>24</v>
      </c>
      <c r="B29" s="31"/>
      <c r="C29" s="21"/>
      <c r="D29" s="21"/>
      <c r="E29" s="21"/>
      <c r="F29" s="21"/>
      <c r="G29" s="19"/>
      <c r="H29" s="29"/>
    </row>
    <row r="30" spans="1:8" ht="12.75" customHeight="1">
      <c r="A30" s="31">
        <v>44286</v>
      </c>
      <c r="B30" s="31"/>
      <c r="C30" s="22">
        <f>ROUND(8.725,3)</f>
        <v>8.725</v>
      </c>
      <c r="D30" s="22">
        <f>F30</f>
        <v>8.725</v>
      </c>
      <c r="E30" s="22">
        <f>F30</f>
        <v>8.725</v>
      </c>
      <c r="F30" s="22">
        <f>ROUND(8.725,3)</f>
        <v>8.725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49765</v>
      </c>
      <c r="B32" s="31"/>
      <c r="C32" s="22">
        <f>ROUND(9.72,3)</f>
        <v>9.72</v>
      </c>
      <c r="D32" s="22">
        <f>F32</f>
        <v>9.72</v>
      </c>
      <c r="E32" s="22">
        <f>F32</f>
        <v>9.72</v>
      </c>
      <c r="F32" s="22">
        <f>ROUND(9.72,3)</f>
        <v>9.72</v>
      </c>
      <c r="G32" s="19"/>
      <c r="H32" s="29"/>
    </row>
    <row r="33" spans="1:8" ht="12.75" customHeight="1">
      <c r="A33" s="31" t="s">
        <v>26</v>
      </c>
      <c r="B33" s="31"/>
      <c r="C33" s="21"/>
      <c r="D33" s="21"/>
      <c r="E33" s="21"/>
      <c r="F33" s="21"/>
      <c r="G33" s="19"/>
      <c r="H33" s="29"/>
    </row>
    <row r="34" spans="1:8" ht="12.75" customHeight="1">
      <c r="A34" s="31">
        <v>46843</v>
      </c>
      <c r="B34" s="31"/>
      <c r="C34" s="22">
        <f>ROUND(1.725,3)</f>
        <v>1.725</v>
      </c>
      <c r="D34" s="22">
        <f>F34</f>
        <v>1.725</v>
      </c>
      <c r="E34" s="22">
        <f>F34</f>
        <v>1.725</v>
      </c>
      <c r="F34" s="22">
        <f>ROUND(1.725,3)</f>
        <v>1.725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42766</v>
      </c>
      <c r="B36" s="31"/>
      <c r="C36" s="20">
        <f>ROUND(0.35,5)</f>
        <v>0.35</v>
      </c>
      <c r="D36" s="20">
        <f>F36</f>
        <v>0.35</v>
      </c>
      <c r="E36" s="20">
        <f>F36</f>
        <v>0.35</v>
      </c>
      <c r="F36" s="20">
        <f>ROUND(0.35,5)</f>
        <v>0.35</v>
      </c>
      <c r="G36" s="19"/>
      <c r="H36" s="29"/>
    </row>
    <row r="37" spans="1:8" ht="12.75" customHeight="1">
      <c r="A37" s="31" t="s">
        <v>28</v>
      </c>
      <c r="B37" s="31"/>
      <c r="C37" s="21"/>
      <c r="D37" s="21"/>
      <c r="E37" s="21"/>
      <c r="F37" s="21"/>
      <c r="G37" s="19"/>
      <c r="H37" s="29"/>
    </row>
    <row r="38" spans="1:8" ht="12.75" customHeight="1">
      <c r="A38" s="31">
        <v>44592</v>
      </c>
      <c r="B38" s="31"/>
      <c r="C38" s="22">
        <f>ROUND(1.6,3)</f>
        <v>1.6</v>
      </c>
      <c r="D38" s="22">
        <f>F38</f>
        <v>1.6</v>
      </c>
      <c r="E38" s="22">
        <f>F38</f>
        <v>1.6</v>
      </c>
      <c r="F38" s="22">
        <f>ROUND(1.6,3)</f>
        <v>1.6</v>
      </c>
      <c r="G38" s="19"/>
      <c r="H38" s="29"/>
    </row>
    <row r="39" spans="1:8" ht="12.75" customHeight="1">
      <c r="A39" s="31" t="s">
        <v>29</v>
      </c>
      <c r="B39" s="31"/>
      <c r="C39" s="18"/>
      <c r="D39" s="18"/>
      <c r="E39" s="18"/>
      <c r="F39" s="18"/>
      <c r="G39" s="19"/>
      <c r="H39" s="29"/>
    </row>
    <row r="40" spans="1:8" ht="12.75" customHeight="1">
      <c r="A40" s="31">
        <v>47907</v>
      </c>
      <c r="B40" s="31"/>
      <c r="C40" s="22">
        <f>ROUND(9.63,3)</f>
        <v>9.63</v>
      </c>
      <c r="D40" s="22">
        <f>F40</f>
        <v>9.63</v>
      </c>
      <c r="E40" s="22">
        <f>F40</f>
        <v>9.63</v>
      </c>
      <c r="F40" s="22">
        <f>ROUND(9.63,3)</f>
        <v>9.63</v>
      </c>
      <c r="G40" s="19"/>
      <c r="H40" s="29"/>
    </row>
    <row r="41" spans="1:8" ht="12.75" customHeight="1">
      <c r="A41" s="31" t="s">
        <v>30</v>
      </c>
      <c r="B41" s="31"/>
      <c r="C41" s="21"/>
      <c r="D41" s="21"/>
      <c r="E41" s="21"/>
      <c r="F41" s="21"/>
      <c r="G41" s="19"/>
      <c r="H41" s="29"/>
    </row>
    <row r="42" spans="1:8" ht="12.75" customHeight="1">
      <c r="A42" s="31">
        <v>42586</v>
      </c>
      <c r="B42" s="31"/>
      <c r="C42" s="20">
        <f>ROUND(1.69,5)</f>
        <v>1.69</v>
      </c>
      <c r="D42" s="20">
        <f>F42</f>
        <v>127.22509</v>
      </c>
      <c r="E42" s="20">
        <f>F42</f>
        <v>127.22509</v>
      </c>
      <c r="F42" s="20">
        <f>ROUND(127.22509,5)</f>
        <v>127.22509</v>
      </c>
      <c r="G42" s="19"/>
      <c r="H42" s="29"/>
    </row>
    <row r="43" spans="1:8" ht="12.75" customHeight="1">
      <c r="A43" s="31">
        <v>42677</v>
      </c>
      <c r="B43" s="31"/>
      <c r="C43" s="20">
        <f>ROUND(1.69,5)</f>
        <v>1.69</v>
      </c>
      <c r="D43" s="20">
        <f>F43</f>
        <v>129.6686</v>
      </c>
      <c r="E43" s="20">
        <f>F43</f>
        <v>129.6686</v>
      </c>
      <c r="F43" s="20">
        <f>ROUND(129.6686,5)</f>
        <v>129.6686</v>
      </c>
      <c r="G43" s="19"/>
      <c r="H43" s="29"/>
    </row>
    <row r="44" spans="1:8" ht="12.75" customHeight="1">
      <c r="A44" s="31">
        <v>42768</v>
      </c>
      <c r="B44" s="31"/>
      <c r="C44" s="20">
        <f>ROUND(1.69,5)</f>
        <v>1.69</v>
      </c>
      <c r="D44" s="20">
        <f>F44</f>
        <v>131.00397</v>
      </c>
      <c r="E44" s="20">
        <f>F44</f>
        <v>131.00397</v>
      </c>
      <c r="F44" s="20">
        <f>ROUND(131.00397,5)</f>
        <v>131.00397</v>
      </c>
      <c r="G44" s="19"/>
      <c r="H44" s="29"/>
    </row>
    <row r="45" spans="1:8" ht="12.75" customHeight="1">
      <c r="A45" s="31">
        <v>42859</v>
      </c>
      <c r="B45" s="31"/>
      <c r="C45" s="20">
        <f>ROUND(1.69,5)</f>
        <v>1.69</v>
      </c>
      <c r="D45" s="20">
        <f>F45</f>
        <v>133.84792</v>
      </c>
      <c r="E45" s="20">
        <f>F45</f>
        <v>133.84792</v>
      </c>
      <c r="F45" s="20">
        <f>ROUND(133.84792,5)</f>
        <v>133.84792</v>
      </c>
      <c r="G45" s="19"/>
      <c r="H45" s="29"/>
    </row>
    <row r="46" spans="1:8" ht="12.75" customHeight="1">
      <c r="A46" s="31">
        <v>42950</v>
      </c>
      <c r="B46" s="31"/>
      <c r="C46" s="20">
        <f>ROUND(1.69,5)</f>
        <v>1.69</v>
      </c>
      <c r="D46" s="20">
        <f>F46</f>
        <v>136.43357</v>
      </c>
      <c r="E46" s="20">
        <f>F46</f>
        <v>136.43357</v>
      </c>
      <c r="F46" s="20">
        <f>ROUND(136.43357,5)</f>
        <v>136.43357</v>
      </c>
      <c r="G46" s="19"/>
      <c r="H46" s="29"/>
    </row>
    <row r="47" spans="1:8" ht="12.75" customHeight="1">
      <c r="A47" s="31" t="s">
        <v>31</v>
      </c>
      <c r="B47" s="31"/>
      <c r="C47" s="18"/>
      <c r="D47" s="18"/>
      <c r="E47" s="18"/>
      <c r="F47" s="18"/>
      <c r="G47" s="19"/>
      <c r="H47" s="29"/>
    </row>
    <row r="48" spans="1:8" ht="12.75" customHeight="1">
      <c r="A48" s="31">
        <v>42586</v>
      </c>
      <c r="B48" s="31"/>
      <c r="C48" s="20">
        <f>ROUND(9.595,5)</f>
        <v>9.595</v>
      </c>
      <c r="D48" s="20">
        <f>F48</f>
        <v>9.65402</v>
      </c>
      <c r="E48" s="20">
        <f>F48</f>
        <v>9.65402</v>
      </c>
      <c r="F48" s="20">
        <f>ROUND(9.65402,5)</f>
        <v>9.65402</v>
      </c>
      <c r="G48" s="19"/>
      <c r="H48" s="29"/>
    </row>
    <row r="49" spans="1:8" ht="12.75" customHeight="1">
      <c r="A49" s="31">
        <v>42677</v>
      </c>
      <c r="B49" s="31"/>
      <c r="C49" s="20">
        <f>ROUND(9.595,5)</f>
        <v>9.595</v>
      </c>
      <c r="D49" s="20">
        <f>F49</f>
        <v>9.7089</v>
      </c>
      <c r="E49" s="20">
        <f>F49</f>
        <v>9.7089</v>
      </c>
      <c r="F49" s="20">
        <f>ROUND(9.7089,5)</f>
        <v>9.7089</v>
      </c>
      <c r="G49" s="19"/>
      <c r="H49" s="29"/>
    </row>
    <row r="50" spans="1:8" ht="12.75" customHeight="1">
      <c r="A50" s="31">
        <v>42768</v>
      </c>
      <c r="B50" s="31"/>
      <c r="C50" s="20">
        <f>ROUND(9.595,5)</f>
        <v>9.595</v>
      </c>
      <c r="D50" s="20">
        <f>F50</f>
        <v>9.75671</v>
      </c>
      <c r="E50" s="20">
        <f>F50</f>
        <v>9.75671</v>
      </c>
      <c r="F50" s="20">
        <f>ROUND(9.75671,5)</f>
        <v>9.75671</v>
      </c>
      <c r="G50" s="19"/>
      <c r="H50" s="29"/>
    </row>
    <row r="51" spans="1:8" ht="12.75" customHeight="1">
      <c r="A51" s="31">
        <v>42859</v>
      </c>
      <c r="B51" s="31"/>
      <c r="C51" s="20">
        <f>ROUND(9.595,5)</f>
        <v>9.595</v>
      </c>
      <c r="D51" s="20">
        <f>F51</f>
        <v>9.79082</v>
      </c>
      <c r="E51" s="20">
        <f>F51</f>
        <v>9.79082</v>
      </c>
      <c r="F51" s="20">
        <f>ROUND(9.79082,5)</f>
        <v>9.79082</v>
      </c>
      <c r="G51" s="19"/>
      <c r="H51" s="29"/>
    </row>
    <row r="52" spans="1:8" ht="12.75" customHeight="1">
      <c r="A52" s="31">
        <v>42950</v>
      </c>
      <c r="B52" s="31"/>
      <c r="C52" s="20">
        <f>ROUND(9.595,5)</f>
        <v>9.595</v>
      </c>
      <c r="D52" s="20">
        <f>F52</f>
        <v>9.86093</v>
      </c>
      <c r="E52" s="20">
        <f>F52</f>
        <v>9.86093</v>
      </c>
      <c r="F52" s="20">
        <f>ROUND(9.86093,5)</f>
        <v>9.86093</v>
      </c>
      <c r="G52" s="19"/>
      <c r="H52" s="29"/>
    </row>
    <row r="53" spans="1:8" ht="12.75" customHeight="1">
      <c r="A53" s="31" t="s">
        <v>32</v>
      </c>
      <c r="B53" s="31"/>
      <c r="C53" s="21"/>
      <c r="D53" s="21"/>
      <c r="E53" s="21"/>
      <c r="F53" s="21"/>
      <c r="G53" s="19"/>
      <c r="H53" s="29"/>
    </row>
    <row r="54" spans="1:8" ht="12.75" customHeight="1">
      <c r="A54" s="31">
        <v>42586</v>
      </c>
      <c r="B54" s="31"/>
      <c r="C54" s="20">
        <f>ROUND(9.725,5)</f>
        <v>9.725</v>
      </c>
      <c r="D54" s="20">
        <f>F54</f>
        <v>9.78263</v>
      </c>
      <c r="E54" s="20">
        <f>F54</f>
        <v>9.78263</v>
      </c>
      <c r="F54" s="20">
        <f>ROUND(9.78263,5)</f>
        <v>9.78263</v>
      </c>
      <c r="G54" s="19"/>
      <c r="H54" s="29"/>
    </row>
    <row r="55" spans="1:8" ht="12.75" customHeight="1">
      <c r="A55" s="31">
        <v>42677</v>
      </c>
      <c r="B55" s="31"/>
      <c r="C55" s="20">
        <f>ROUND(9.725,5)</f>
        <v>9.725</v>
      </c>
      <c r="D55" s="20">
        <f>F55</f>
        <v>9.84113</v>
      </c>
      <c r="E55" s="20">
        <f>F55</f>
        <v>9.84113</v>
      </c>
      <c r="F55" s="20">
        <f>ROUND(9.84113,5)</f>
        <v>9.84113</v>
      </c>
      <c r="G55" s="19"/>
      <c r="H55" s="29"/>
    </row>
    <row r="56" spans="1:8" ht="12.75" customHeight="1">
      <c r="A56" s="31">
        <v>42768</v>
      </c>
      <c r="B56" s="31"/>
      <c r="C56" s="20">
        <f>ROUND(9.725,5)</f>
        <v>9.725</v>
      </c>
      <c r="D56" s="20">
        <f>F56</f>
        <v>9.89251</v>
      </c>
      <c r="E56" s="20">
        <f>F56</f>
        <v>9.89251</v>
      </c>
      <c r="F56" s="20">
        <f>ROUND(9.89251,5)</f>
        <v>9.89251</v>
      </c>
      <c r="G56" s="19"/>
      <c r="H56" s="29"/>
    </row>
    <row r="57" spans="1:8" ht="12.75" customHeight="1">
      <c r="A57" s="31">
        <v>42859</v>
      </c>
      <c r="B57" s="31"/>
      <c r="C57" s="20">
        <f>ROUND(9.725,5)</f>
        <v>9.725</v>
      </c>
      <c r="D57" s="20">
        <f>F57</f>
        <v>9.92689</v>
      </c>
      <c r="E57" s="20">
        <f>F57</f>
        <v>9.92689</v>
      </c>
      <c r="F57" s="20">
        <f>ROUND(9.92689,5)</f>
        <v>9.92689</v>
      </c>
      <c r="G57" s="19"/>
      <c r="H57" s="29"/>
    </row>
    <row r="58" spans="1:8" ht="12.75" customHeight="1">
      <c r="A58" s="31">
        <v>42950</v>
      </c>
      <c r="B58" s="31"/>
      <c r="C58" s="20">
        <f>ROUND(9.725,5)</f>
        <v>9.725</v>
      </c>
      <c r="D58" s="20">
        <f>F58</f>
        <v>9.99325</v>
      </c>
      <c r="E58" s="20">
        <f>F58</f>
        <v>9.99325</v>
      </c>
      <c r="F58" s="20">
        <f>ROUND(9.99325,5)</f>
        <v>9.99325</v>
      </c>
      <c r="G58" s="19"/>
      <c r="H58" s="29"/>
    </row>
    <row r="59" spans="1:8" ht="12.75" customHeight="1">
      <c r="A59" s="31" t="s">
        <v>33</v>
      </c>
      <c r="B59" s="31"/>
      <c r="C59" s="21"/>
      <c r="D59" s="21"/>
      <c r="E59" s="21"/>
      <c r="F59" s="21"/>
      <c r="G59" s="19"/>
      <c r="H59" s="29"/>
    </row>
    <row r="60" spans="1:8" ht="12.75" customHeight="1">
      <c r="A60" s="31">
        <v>42586</v>
      </c>
      <c r="B60" s="31"/>
      <c r="C60" s="20">
        <f>ROUND(106.28217,5)</f>
        <v>106.28217</v>
      </c>
      <c r="D60" s="20">
        <f>F60</f>
        <v>108.13539</v>
      </c>
      <c r="E60" s="20">
        <f>F60</f>
        <v>108.13539</v>
      </c>
      <c r="F60" s="20">
        <f>ROUND(108.13539,5)</f>
        <v>108.13539</v>
      </c>
      <c r="G60" s="19"/>
      <c r="H60" s="29"/>
    </row>
    <row r="61" spans="1:8" ht="12.75" customHeight="1">
      <c r="A61" s="31">
        <v>42677</v>
      </c>
      <c r="B61" s="31"/>
      <c r="C61" s="20">
        <f>ROUND(106.28217,5)</f>
        <v>106.28217</v>
      </c>
      <c r="D61" s="20">
        <f>F61</f>
        <v>109.1894</v>
      </c>
      <c r="E61" s="20">
        <f>F61</f>
        <v>109.1894</v>
      </c>
      <c r="F61" s="20">
        <f>ROUND(109.1894,5)</f>
        <v>109.1894</v>
      </c>
      <c r="G61" s="19"/>
      <c r="H61" s="29"/>
    </row>
    <row r="62" spans="1:8" ht="12.75" customHeight="1">
      <c r="A62" s="31">
        <v>42768</v>
      </c>
      <c r="B62" s="31"/>
      <c r="C62" s="20">
        <f>ROUND(106.28217,5)</f>
        <v>106.28217</v>
      </c>
      <c r="D62" s="20">
        <f>F62</f>
        <v>111.40325</v>
      </c>
      <c r="E62" s="20">
        <f>F62</f>
        <v>111.40325</v>
      </c>
      <c r="F62" s="20">
        <f>ROUND(111.40325,5)</f>
        <v>111.40325</v>
      </c>
      <c r="G62" s="19"/>
      <c r="H62" s="29"/>
    </row>
    <row r="63" spans="1:8" ht="12.75" customHeight="1">
      <c r="A63" s="31">
        <v>42859</v>
      </c>
      <c r="B63" s="31"/>
      <c r="C63" s="20">
        <f>ROUND(106.28217,5)</f>
        <v>106.28217</v>
      </c>
      <c r="D63" s="20">
        <f>F63</f>
        <v>112.77115</v>
      </c>
      <c r="E63" s="20">
        <f>F63</f>
        <v>112.77115</v>
      </c>
      <c r="F63" s="20">
        <f>ROUND(112.77115,5)</f>
        <v>112.77115</v>
      </c>
      <c r="G63" s="19"/>
      <c r="H63" s="29"/>
    </row>
    <row r="64" spans="1:8" ht="12.75" customHeight="1">
      <c r="A64" s="31">
        <v>42950</v>
      </c>
      <c r="B64" s="31"/>
      <c r="C64" s="20">
        <f>ROUND(106.28217,5)</f>
        <v>106.28217</v>
      </c>
      <c r="D64" s="20">
        <f>F64</f>
        <v>114.94948</v>
      </c>
      <c r="E64" s="20">
        <f>F64</f>
        <v>114.94948</v>
      </c>
      <c r="F64" s="20">
        <f>ROUND(114.94948,5)</f>
        <v>114.94948</v>
      </c>
      <c r="G64" s="19"/>
      <c r="H64" s="29"/>
    </row>
    <row r="65" spans="1:8" ht="12.75" customHeight="1">
      <c r="A65" s="31" t="s">
        <v>34</v>
      </c>
      <c r="B65" s="31"/>
      <c r="C65" s="18"/>
      <c r="D65" s="18"/>
      <c r="E65" s="18"/>
      <c r="F65" s="18"/>
      <c r="G65" s="19"/>
      <c r="H65" s="29"/>
    </row>
    <row r="66" spans="1:8" ht="12.75" customHeight="1">
      <c r="A66" s="31">
        <v>42586</v>
      </c>
      <c r="B66" s="31"/>
      <c r="C66" s="20">
        <f>ROUND(9.845,5)</f>
        <v>9.845</v>
      </c>
      <c r="D66" s="20">
        <f>F66</f>
        <v>9.90264</v>
      </c>
      <c r="E66" s="20">
        <f>F66</f>
        <v>9.90264</v>
      </c>
      <c r="F66" s="20">
        <f>ROUND(9.90264,5)</f>
        <v>9.90264</v>
      </c>
      <c r="G66" s="19"/>
      <c r="H66" s="29"/>
    </row>
    <row r="67" spans="1:8" ht="12.75" customHeight="1">
      <c r="A67" s="31">
        <v>42677</v>
      </c>
      <c r="B67" s="31"/>
      <c r="C67" s="20">
        <f>ROUND(9.845,5)</f>
        <v>9.845</v>
      </c>
      <c r="D67" s="20">
        <f>F67</f>
        <v>9.95668</v>
      </c>
      <c r="E67" s="20">
        <f>F67</f>
        <v>9.95668</v>
      </c>
      <c r="F67" s="20">
        <f>ROUND(9.95668,5)</f>
        <v>9.95668</v>
      </c>
      <c r="G67" s="19"/>
      <c r="H67" s="29"/>
    </row>
    <row r="68" spans="1:8" ht="12.75" customHeight="1">
      <c r="A68" s="31">
        <v>42768</v>
      </c>
      <c r="B68" s="31"/>
      <c r="C68" s="20">
        <f>ROUND(9.845,5)</f>
        <v>9.845</v>
      </c>
      <c r="D68" s="20">
        <f>F68</f>
        <v>10.00472</v>
      </c>
      <c r="E68" s="20">
        <f>F68</f>
        <v>10.00472</v>
      </c>
      <c r="F68" s="20">
        <f>ROUND(10.00472,5)</f>
        <v>10.00472</v>
      </c>
      <c r="G68" s="19"/>
      <c r="H68" s="29"/>
    </row>
    <row r="69" spans="1:8" ht="12.75" customHeight="1">
      <c r="A69" s="31">
        <v>42859</v>
      </c>
      <c r="B69" s="31"/>
      <c r="C69" s="20">
        <f>ROUND(9.845,5)</f>
        <v>9.845</v>
      </c>
      <c r="D69" s="20">
        <f>F69</f>
        <v>10.04078</v>
      </c>
      <c r="E69" s="20">
        <f>F69</f>
        <v>10.04078</v>
      </c>
      <c r="F69" s="20">
        <f>ROUND(10.04078,5)</f>
        <v>10.04078</v>
      </c>
      <c r="G69" s="19"/>
      <c r="H69" s="29"/>
    </row>
    <row r="70" spans="1:8" ht="12.75" customHeight="1">
      <c r="A70" s="31">
        <v>42950</v>
      </c>
      <c r="B70" s="31"/>
      <c r="C70" s="20">
        <f>ROUND(9.845,5)</f>
        <v>9.845</v>
      </c>
      <c r="D70" s="20">
        <f>F70</f>
        <v>10.10767</v>
      </c>
      <c r="E70" s="20">
        <f>F70</f>
        <v>10.10767</v>
      </c>
      <c r="F70" s="20">
        <f>ROUND(10.10767,5)</f>
        <v>10.10767</v>
      </c>
      <c r="G70" s="19"/>
      <c r="H70" s="29"/>
    </row>
    <row r="71" spans="1:8" ht="12.75" customHeight="1">
      <c r="A71" s="31" t="s">
        <v>35</v>
      </c>
      <c r="B71" s="31"/>
      <c r="C71" s="18"/>
      <c r="D71" s="18"/>
      <c r="E71" s="18"/>
      <c r="F71" s="18"/>
      <c r="G71" s="19"/>
      <c r="H71" s="29"/>
    </row>
    <row r="72" spans="1:8" ht="12.75" customHeight="1">
      <c r="A72" s="31">
        <v>42586</v>
      </c>
      <c r="B72" s="31"/>
      <c r="C72" s="20">
        <f>ROUND(1.78,5)</f>
        <v>1.78</v>
      </c>
      <c r="D72" s="20">
        <f>F72</f>
        <v>134.55235</v>
      </c>
      <c r="E72" s="20">
        <f>F72</f>
        <v>134.55235</v>
      </c>
      <c r="F72" s="20">
        <f>ROUND(134.55235,5)</f>
        <v>134.55235</v>
      </c>
      <c r="G72" s="19"/>
      <c r="H72" s="29"/>
    </row>
    <row r="73" spans="1:8" ht="12.75" customHeight="1">
      <c r="A73" s="31">
        <v>42677</v>
      </c>
      <c r="B73" s="31"/>
      <c r="C73" s="20">
        <f>ROUND(1.78,5)</f>
        <v>1.78</v>
      </c>
      <c r="D73" s="20">
        <f>F73</f>
        <v>137.13646</v>
      </c>
      <c r="E73" s="20">
        <f>F73</f>
        <v>137.13646</v>
      </c>
      <c r="F73" s="20">
        <f>ROUND(137.13646,5)</f>
        <v>137.13646</v>
      </c>
      <c r="G73" s="19"/>
      <c r="H73" s="29"/>
    </row>
    <row r="74" spans="1:8" ht="12.75" customHeight="1">
      <c r="A74" s="31">
        <v>42768</v>
      </c>
      <c r="B74" s="31"/>
      <c r="C74" s="20">
        <f>ROUND(1.78,5)</f>
        <v>1.78</v>
      </c>
      <c r="D74" s="20">
        <f>F74</f>
        <v>138.46151</v>
      </c>
      <c r="E74" s="20">
        <f>F74</f>
        <v>138.46151</v>
      </c>
      <c r="F74" s="20">
        <f>ROUND(138.46151,5)</f>
        <v>138.46151</v>
      </c>
      <c r="G74" s="19"/>
      <c r="H74" s="29"/>
    </row>
    <row r="75" spans="1:8" ht="12.75" customHeight="1">
      <c r="A75" s="31">
        <v>42859</v>
      </c>
      <c r="B75" s="31"/>
      <c r="C75" s="20">
        <f>ROUND(1.78,5)</f>
        <v>1.78</v>
      </c>
      <c r="D75" s="20">
        <f>F75</f>
        <v>141.46754</v>
      </c>
      <c r="E75" s="20">
        <f>F75</f>
        <v>141.46754</v>
      </c>
      <c r="F75" s="20">
        <f>ROUND(141.46754,5)</f>
        <v>141.46754</v>
      </c>
      <c r="G75" s="19"/>
      <c r="H75" s="29"/>
    </row>
    <row r="76" spans="1:8" ht="12.75" customHeight="1">
      <c r="A76" s="31">
        <v>42950</v>
      </c>
      <c r="B76" s="31"/>
      <c r="C76" s="20">
        <f>ROUND(1.78,5)</f>
        <v>1.78</v>
      </c>
      <c r="D76" s="20">
        <f>F76</f>
        <v>144.20027</v>
      </c>
      <c r="E76" s="20">
        <f>F76</f>
        <v>144.20027</v>
      </c>
      <c r="F76" s="20">
        <f>ROUND(144.20027,5)</f>
        <v>144.20027</v>
      </c>
      <c r="G76" s="19"/>
      <c r="H76" s="29"/>
    </row>
    <row r="77" spans="1:8" ht="12.75" customHeight="1">
      <c r="A77" s="31" t="s">
        <v>36</v>
      </c>
      <c r="B77" s="31"/>
      <c r="C77" s="21"/>
      <c r="D77" s="21"/>
      <c r="E77" s="21"/>
      <c r="F77" s="21"/>
      <c r="G77" s="19"/>
      <c r="H77" s="29"/>
    </row>
    <row r="78" spans="1:8" ht="12.75" customHeight="1">
      <c r="A78" s="31">
        <v>42586</v>
      </c>
      <c r="B78" s="31"/>
      <c r="C78" s="20">
        <f>ROUND(9.91,5)</f>
        <v>9.91</v>
      </c>
      <c r="D78" s="20">
        <f>F78</f>
        <v>9.96797</v>
      </c>
      <c r="E78" s="20">
        <f>F78</f>
        <v>9.96797</v>
      </c>
      <c r="F78" s="20">
        <f>ROUND(9.96797,5)</f>
        <v>9.96797</v>
      </c>
      <c r="G78" s="19"/>
      <c r="H78" s="29"/>
    </row>
    <row r="79" spans="1:8" ht="12.75" customHeight="1">
      <c r="A79" s="31">
        <v>42677</v>
      </c>
      <c r="B79" s="31"/>
      <c r="C79" s="20">
        <f>ROUND(9.91,5)</f>
        <v>9.91</v>
      </c>
      <c r="D79" s="20">
        <f>F79</f>
        <v>10.02247</v>
      </c>
      <c r="E79" s="20">
        <f>F79</f>
        <v>10.02247</v>
      </c>
      <c r="F79" s="20">
        <f>ROUND(10.02247,5)</f>
        <v>10.02247</v>
      </c>
      <c r="G79" s="19"/>
      <c r="H79" s="29"/>
    </row>
    <row r="80" spans="1:8" ht="12.75" customHeight="1">
      <c r="A80" s="31">
        <v>42768</v>
      </c>
      <c r="B80" s="31"/>
      <c r="C80" s="20">
        <f>ROUND(9.91,5)</f>
        <v>9.91</v>
      </c>
      <c r="D80" s="20">
        <f>F80</f>
        <v>10.07116</v>
      </c>
      <c r="E80" s="20">
        <f>F80</f>
        <v>10.07116</v>
      </c>
      <c r="F80" s="20">
        <f>ROUND(10.07116,5)</f>
        <v>10.07116</v>
      </c>
      <c r="G80" s="19"/>
      <c r="H80" s="29"/>
    </row>
    <row r="81" spans="1:8" ht="12.75" customHeight="1">
      <c r="A81" s="31">
        <v>42859</v>
      </c>
      <c r="B81" s="31"/>
      <c r="C81" s="20">
        <f>ROUND(9.91,5)</f>
        <v>9.91</v>
      </c>
      <c r="D81" s="20">
        <f>F81</f>
        <v>10.10812</v>
      </c>
      <c r="E81" s="20">
        <f>F81</f>
        <v>10.10812</v>
      </c>
      <c r="F81" s="20">
        <f>ROUND(10.10812,5)</f>
        <v>10.10812</v>
      </c>
      <c r="G81" s="19"/>
      <c r="H81" s="29"/>
    </row>
    <row r="82" spans="1:8" ht="12.75" customHeight="1">
      <c r="A82" s="31">
        <v>42950</v>
      </c>
      <c r="B82" s="31"/>
      <c r="C82" s="20">
        <f>ROUND(9.91,5)</f>
        <v>9.91</v>
      </c>
      <c r="D82" s="20">
        <f>F82</f>
        <v>10.17523</v>
      </c>
      <c r="E82" s="20">
        <f>F82</f>
        <v>10.17523</v>
      </c>
      <c r="F82" s="20">
        <f>ROUND(10.17523,5)</f>
        <v>10.17523</v>
      </c>
      <c r="G82" s="19"/>
      <c r="H82" s="29"/>
    </row>
    <row r="83" spans="1:8" ht="12.75" customHeight="1">
      <c r="A83" s="31" t="s">
        <v>37</v>
      </c>
      <c r="B83" s="31"/>
      <c r="C83" s="23"/>
      <c r="D83" s="23"/>
      <c r="E83" s="23"/>
      <c r="F83" s="23"/>
      <c r="G83" s="19"/>
      <c r="H83" s="29"/>
    </row>
    <row r="84" spans="1:8" ht="12.75" customHeight="1">
      <c r="A84" s="31">
        <v>42586</v>
      </c>
      <c r="B84" s="31"/>
      <c r="C84" s="20">
        <f>ROUND(9.945,5)</f>
        <v>9.945</v>
      </c>
      <c r="D84" s="20">
        <f>F84</f>
        <v>10.00184</v>
      </c>
      <c r="E84" s="20">
        <f>F84</f>
        <v>10.00184</v>
      </c>
      <c r="F84" s="20">
        <f>ROUND(10.00184,5)</f>
        <v>10.00184</v>
      </c>
      <c r="G84" s="19"/>
      <c r="H84" s="29"/>
    </row>
    <row r="85" spans="1:8" ht="12.75" customHeight="1">
      <c r="A85" s="31">
        <v>42677</v>
      </c>
      <c r="B85" s="31"/>
      <c r="C85" s="20">
        <f>ROUND(9.945,5)</f>
        <v>9.945</v>
      </c>
      <c r="D85" s="20">
        <f>F85</f>
        <v>10.0553</v>
      </c>
      <c r="E85" s="20">
        <f>F85</f>
        <v>10.0553</v>
      </c>
      <c r="F85" s="20">
        <f>ROUND(10.0553,5)</f>
        <v>10.0553</v>
      </c>
      <c r="G85" s="19"/>
      <c r="H85" s="29"/>
    </row>
    <row r="86" spans="1:8" ht="12.75" customHeight="1">
      <c r="A86" s="31">
        <v>42768</v>
      </c>
      <c r="B86" s="31"/>
      <c r="C86" s="20">
        <f>ROUND(9.945,5)</f>
        <v>9.945</v>
      </c>
      <c r="D86" s="20">
        <f>F86</f>
        <v>10.10314</v>
      </c>
      <c r="E86" s="20">
        <f>F86</f>
        <v>10.10314</v>
      </c>
      <c r="F86" s="20">
        <f>ROUND(10.10314,5)</f>
        <v>10.10314</v>
      </c>
      <c r="G86" s="19"/>
      <c r="H86" s="29"/>
    </row>
    <row r="87" spans="1:8" ht="12.75" customHeight="1">
      <c r="A87" s="31">
        <v>42859</v>
      </c>
      <c r="B87" s="31"/>
      <c r="C87" s="20">
        <f>ROUND(9.945,5)</f>
        <v>9.945</v>
      </c>
      <c r="D87" s="20">
        <f>F87</f>
        <v>10.1396</v>
      </c>
      <c r="E87" s="20">
        <f>F87</f>
        <v>10.1396</v>
      </c>
      <c r="F87" s="20">
        <f>ROUND(10.1396,5)</f>
        <v>10.1396</v>
      </c>
      <c r="G87" s="19"/>
      <c r="H87" s="29"/>
    </row>
    <row r="88" spans="1:8" ht="12.75" customHeight="1">
      <c r="A88" s="31">
        <v>42950</v>
      </c>
      <c r="B88" s="31"/>
      <c r="C88" s="20">
        <f>ROUND(9.945,5)</f>
        <v>9.945</v>
      </c>
      <c r="D88" s="20">
        <f>F88</f>
        <v>10.20511</v>
      </c>
      <c r="E88" s="20">
        <f>F88</f>
        <v>10.20511</v>
      </c>
      <c r="F88" s="20">
        <f>ROUND(10.20511,5)</f>
        <v>10.20511</v>
      </c>
      <c r="G88" s="19"/>
      <c r="H88" s="29"/>
    </row>
    <row r="89" spans="1:8" ht="12.75" customHeight="1">
      <c r="A89" s="31" t="s">
        <v>38</v>
      </c>
      <c r="B89" s="31"/>
      <c r="C89" s="21"/>
      <c r="D89" s="21"/>
      <c r="E89" s="21"/>
      <c r="F89" s="21"/>
      <c r="G89" s="19"/>
      <c r="H89" s="29"/>
    </row>
    <row r="90" spans="1:8" ht="12.75" customHeight="1">
      <c r="A90" s="31">
        <v>42586</v>
      </c>
      <c r="B90" s="31"/>
      <c r="C90" s="20">
        <f>ROUND(131.56348,5)</f>
        <v>131.56348</v>
      </c>
      <c r="D90" s="20">
        <f>F90</f>
        <v>133.85744</v>
      </c>
      <c r="E90" s="20">
        <f>F90</f>
        <v>133.85744</v>
      </c>
      <c r="F90" s="20">
        <f>ROUND(133.85744,5)</f>
        <v>133.85744</v>
      </c>
      <c r="G90" s="19"/>
      <c r="H90" s="29"/>
    </row>
    <row r="91" spans="1:8" ht="12.75" customHeight="1">
      <c r="A91" s="31">
        <v>42677</v>
      </c>
      <c r="B91" s="31"/>
      <c r="C91" s="20">
        <f>ROUND(131.56348,5)</f>
        <v>131.56348</v>
      </c>
      <c r="D91" s="20">
        <f>F91</f>
        <v>134.91742</v>
      </c>
      <c r="E91" s="20">
        <f>F91</f>
        <v>134.91742</v>
      </c>
      <c r="F91" s="20">
        <f>ROUND(134.91742,5)</f>
        <v>134.91742</v>
      </c>
      <c r="G91" s="19"/>
      <c r="H91" s="29"/>
    </row>
    <row r="92" spans="1:8" ht="12.75" customHeight="1">
      <c r="A92" s="31">
        <v>42768</v>
      </c>
      <c r="B92" s="31"/>
      <c r="C92" s="20">
        <f>ROUND(131.56348,5)</f>
        <v>131.56348</v>
      </c>
      <c r="D92" s="20">
        <f>F92</f>
        <v>137.65316</v>
      </c>
      <c r="E92" s="20">
        <f>F92</f>
        <v>137.65316</v>
      </c>
      <c r="F92" s="20">
        <f>ROUND(137.65316,5)</f>
        <v>137.65316</v>
      </c>
      <c r="G92" s="19"/>
      <c r="H92" s="29"/>
    </row>
    <row r="93" spans="1:8" ht="12.75" customHeight="1">
      <c r="A93" s="31">
        <v>42859</v>
      </c>
      <c r="B93" s="31"/>
      <c r="C93" s="20">
        <f>ROUND(131.56348,5)</f>
        <v>131.56348</v>
      </c>
      <c r="D93" s="20">
        <f>F93</f>
        <v>139.10078</v>
      </c>
      <c r="E93" s="20">
        <f>F93</f>
        <v>139.10078</v>
      </c>
      <c r="F93" s="20">
        <f>ROUND(139.10078,5)</f>
        <v>139.10078</v>
      </c>
      <c r="G93" s="19"/>
      <c r="H93" s="29"/>
    </row>
    <row r="94" spans="1:8" ht="12.75" customHeight="1">
      <c r="A94" s="31">
        <v>42950</v>
      </c>
      <c r="B94" s="31"/>
      <c r="C94" s="20">
        <f>ROUND(131.56348,5)</f>
        <v>131.56348</v>
      </c>
      <c r="D94" s="20">
        <f>F94</f>
        <v>141.78694</v>
      </c>
      <c r="E94" s="20">
        <f>F94</f>
        <v>141.78694</v>
      </c>
      <c r="F94" s="20">
        <f>ROUND(141.78694,5)</f>
        <v>141.78694</v>
      </c>
      <c r="G94" s="19"/>
      <c r="H94" s="29"/>
    </row>
    <row r="95" spans="1:8" ht="12.75" customHeight="1">
      <c r="A95" s="31" t="s">
        <v>39</v>
      </c>
      <c r="B95" s="31"/>
      <c r="C95" s="21"/>
      <c r="D95" s="21"/>
      <c r="E95" s="21"/>
      <c r="F95" s="21"/>
      <c r="G95" s="19"/>
      <c r="H95" s="29"/>
    </row>
    <row r="96" spans="1:8" ht="12.75" customHeight="1">
      <c r="A96" s="31">
        <v>42586</v>
      </c>
      <c r="B96" s="31"/>
      <c r="C96" s="20">
        <f>ROUND(1.92,5)</f>
        <v>1.92</v>
      </c>
      <c r="D96" s="20">
        <f>F96</f>
        <v>142.34184</v>
      </c>
      <c r="E96" s="20">
        <f>F96</f>
        <v>142.34184</v>
      </c>
      <c r="F96" s="20">
        <f>ROUND(142.34184,5)</f>
        <v>142.34184</v>
      </c>
      <c r="G96" s="19"/>
      <c r="H96" s="29"/>
    </row>
    <row r="97" spans="1:8" ht="12.75" customHeight="1">
      <c r="A97" s="31">
        <v>42677</v>
      </c>
      <c r="B97" s="31"/>
      <c r="C97" s="20">
        <f>ROUND(1.92,5)</f>
        <v>1.92</v>
      </c>
      <c r="D97" s="20">
        <f>F97</f>
        <v>145.07578</v>
      </c>
      <c r="E97" s="20">
        <f>F97</f>
        <v>145.07578</v>
      </c>
      <c r="F97" s="20">
        <f>ROUND(145.07578,5)</f>
        <v>145.07578</v>
      </c>
      <c r="G97" s="19"/>
      <c r="H97" s="29"/>
    </row>
    <row r="98" spans="1:8" ht="12.75" customHeight="1">
      <c r="A98" s="31">
        <v>42768</v>
      </c>
      <c r="B98" s="31"/>
      <c r="C98" s="20">
        <f>ROUND(1.92,5)</f>
        <v>1.92</v>
      </c>
      <c r="D98" s="20">
        <f>F98</f>
        <v>146.39445</v>
      </c>
      <c r="E98" s="20">
        <f>F98</f>
        <v>146.39445</v>
      </c>
      <c r="F98" s="20">
        <f>ROUND(146.39445,5)</f>
        <v>146.39445</v>
      </c>
      <c r="G98" s="19"/>
      <c r="H98" s="29"/>
    </row>
    <row r="99" spans="1:8" ht="12.75" customHeight="1">
      <c r="A99" s="31">
        <v>42859</v>
      </c>
      <c r="B99" s="31"/>
      <c r="C99" s="20">
        <f>ROUND(1.92,5)</f>
        <v>1.92</v>
      </c>
      <c r="D99" s="20">
        <f>F99</f>
        <v>149.57218</v>
      </c>
      <c r="E99" s="20">
        <f>F99</f>
        <v>149.57218</v>
      </c>
      <c r="F99" s="20">
        <f>ROUND(149.57218,5)</f>
        <v>149.57218</v>
      </c>
      <c r="G99" s="19"/>
      <c r="H99" s="29"/>
    </row>
    <row r="100" spans="1:8" ht="12.75" customHeight="1">
      <c r="A100" s="31">
        <v>42950</v>
      </c>
      <c r="B100" s="31"/>
      <c r="C100" s="20">
        <f>ROUND(1.92,5)</f>
        <v>1.92</v>
      </c>
      <c r="D100" s="20">
        <f>F100</f>
        <v>152.46176</v>
      </c>
      <c r="E100" s="20">
        <f>F100</f>
        <v>152.46176</v>
      </c>
      <c r="F100" s="20">
        <f>ROUND(152.46176,5)</f>
        <v>152.46176</v>
      </c>
      <c r="G100" s="19"/>
      <c r="H100" s="29"/>
    </row>
    <row r="101" spans="1:8" ht="12.75" customHeight="1">
      <c r="A101" s="31" t="s">
        <v>40</v>
      </c>
      <c r="B101" s="31"/>
      <c r="C101" s="21"/>
      <c r="D101" s="21"/>
      <c r="E101" s="21"/>
      <c r="F101" s="21"/>
      <c r="G101" s="19"/>
      <c r="H101" s="29"/>
    </row>
    <row r="102" spans="1:8" ht="12.75" customHeight="1">
      <c r="A102" s="31">
        <v>42586</v>
      </c>
      <c r="B102" s="31"/>
      <c r="C102" s="20">
        <f>ROUND(2.2,5)</f>
        <v>2.2</v>
      </c>
      <c r="D102" s="20">
        <f>F102</f>
        <v>131.50409</v>
      </c>
      <c r="E102" s="20">
        <f>F102</f>
        <v>131.50409</v>
      </c>
      <c r="F102" s="20">
        <f>ROUND(131.50409,5)</f>
        <v>131.50409</v>
      </c>
      <c r="G102" s="19"/>
      <c r="H102" s="29"/>
    </row>
    <row r="103" spans="1:8" ht="12.75" customHeight="1">
      <c r="A103" s="31">
        <v>42677</v>
      </c>
      <c r="B103" s="31"/>
      <c r="C103" s="20">
        <f>ROUND(2.2,5)</f>
        <v>2.2</v>
      </c>
      <c r="D103" s="20">
        <f>F103</f>
        <v>132.35965</v>
      </c>
      <c r="E103" s="20">
        <f>F103</f>
        <v>132.35965</v>
      </c>
      <c r="F103" s="20">
        <f>ROUND(132.35965,5)</f>
        <v>132.35965</v>
      </c>
      <c r="G103" s="19"/>
      <c r="H103" s="29"/>
    </row>
    <row r="104" spans="1:8" ht="12.75" customHeight="1">
      <c r="A104" s="31">
        <v>42768</v>
      </c>
      <c r="B104" s="31"/>
      <c r="C104" s="20">
        <f>ROUND(2.2,5)</f>
        <v>2.2</v>
      </c>
      <c r="D104" s="20">
        <f>F104</f>
        <v>135.04352</v>
      </c>
      <c r="E104" s="20">
        <f>F104</f>
        <v>135.04352</v>
      </c>
      <c r="F104" s="20">
        <f>ROUND(135.04352,5)</f>
        <v>135.04352</v>
      </c>
      <c r="G104" s="19"/>
      <c r="H104" s="29"/>
    </row>
    <row r="105" spans="1:8" ht="12.75" customHeight="1">
      <c r="A105" s="31">
        <v>42859</v>
      </c>
      <c r="B105" s="31"/>
      <c r="C105" s="20">
        <f>ROUND(2.2,5)</f>
        <v>2.2</v>
      </c>
      <c r="D105" s="20">
        <f>F105</f>
        <v>137.97448</v>
      </c>
      <c r="E105" s="20">
        <f>F105</f>
        <v>137.97448</v>
      </c>
      <c r="F105" s="20">
        <f>ROUND(137.97448,5)</f>
        <v>137.97448</v>
      </c>
      <c r="G105" s="19"/>
      <c r="H105" s="29"/>
    </row>
    <row r="106" spans="1:8" ht="12.75" customHeight="1">
      <c r="A106" s="31">
        <v>42950</v>
      </c>
      <c r="B106" s="31"/>
      <c r="C106" s="20">
        <f>ROUND(2.2,5)</f>
        <v>2.2</v>
      </c>
      <c r="D106" s="20">
        <f>F106</f>
        <v>140.64047</v>
      </c>
      <c r="E106" s="20">
        <f>F106</f>
        <v>140.64047</v>
      </c>
      <c r="F106" s="20">
        <f>ROUND(140.64047,5)</f>
        <v>140.64047</v>
      </c>
      <c r="G106" s="19"/>
      <c r="H106" s="29"/>
    </row>
    <row r="107" spans="1:8" ht="12.75" customHeight="1">
      <c r="A107" s="31" t="s">
        <v>41</v>
      </c>
      <c r="B107" s="31"/>
      <c r="C107" s="21"/>
      <c r="D107" s="21"/>
      <c r="E107" s="21"/>
      <c r="F107" s="21"/>
      <c r="G107" s="19"/>
      <c r="H107" s="29"/>
    </row>
    <row r="108" spans="1:8" ht="12.75" customHeight="1">
      <c r="A108" s="31">
        <v>42586</v>
      </c>
      <c r="B108" s="31"/>
      <c r="C108" s="20">
        <f>ROUND(10.69,5)</f>
        <v>10.69</v>
      </c>
      <c r="D108" s="20">
        <f>F108</f>
        <v>10.7719</v>
      </c>
      <c r="E108" s="20">
        <f>F108</f>
        <v>10.7719</v>
      </c>
      <c r="F108" s="20">
        <f>ROUND(10.7719,5)</f>
        <v>10.7719</v>
      </c>
      <c r="G108" s="19"/>
      <c r="H108" s="29"/>
    </row>
    <row r="109" spans="1:8" ht="12.75" customHeight="1">
      <c r="A109" s="31">
        <v>42677</v>
      </c>
      <c r="B109" s="31"/>
      <c r="C109" s="20">
        <f>ROUND(10.69,5)</f>
        <v>10.69</v>
      </c>
      <c r="D109" s="20">
        <f>F109</f>
        <v>10.85916</v>
      </c>
      <c r="E109" s="20">
        <f>F109</f>
        <v>10.85916</v>
      </c>
      <c r="F109" s="20">
        <f>ROUND(10.85916,5)</f>
        <v>10.85916</v>
      </c>
      <c r="G109" s="19"/>
      <c r="H109" s="29"/>
    </row>
    <row r="110" spans="1:8" ht="12.75" customHeight="1">
      <c r="A110" s="31">
        <v>42768</v>
      </c>
      <c r="B110" s="31"/>
      <c r="C110" s="20">
        <f>ROUND(10.69,5)</f>
        <v>10.69</v>
      </c>
      <c r="D110" s="20">
        <f>F110</f>
        <v>10.94274</v>
      </c>
      <c r="E110" s="20">
        <f>F110</f>
        <v>10.94274</v>
      </c>
      <c r="F110" s="20">
        <f>ROUND(10.94274,5)</f>
        <v>10.94274</v>
      </c>
      <c r="G110" s="19"/>
      <c r="H110" s="29"/>
    </row>
    <row r="111" spans="1:8" ht="12.75" customHeight="1">
      <c r="A111" s="31">
        <v>42859</v>
      </c>
      <c r="B111" s="31"/>
      <c r="C111" s="20">
        <f>ROUND(10.69,5)</f>
        <v>10.69</v>
      </c>
      <c r="D111" s="20">
        <f>F111</f>
        <v>11.00751</v>
      </c>
      <c r="E111" s="20">
        <f>F111</f>
        <v>11.00751</v>
      </c>
      <c r="F111" s="20">
        <f>ROUND(11.00751,5)</f>
        <v>11.00751</v>
      </c>
      <c r="G111" s="19"/>
      <c r="H111" s="29"/>
    </row>
    <row r="112" spans="1:8" ht="12.75" customHeight="1">
      <c r="A112" s="31">
        <v>42950</v>
      </c>
      <c r="B112" s="31"/>
      <c r="C112" s="20">
        <f>ROUND(10.69,5)</f>
        <v>10.69</v>
      </c>
      <c r="D112" s="20">
        <f>F112</f>
        <v>11.10435</v>
      </c>
      <c r="E112" s="20">
        <f>F112</f>
        <v>11.10435</v>
      </c>
      <c r="F112" s="20">
        <f>ROUND(11.10435,5)</f>
        <v>11.10435</v>
      </c>
      <c r="G112" s="19"/>
      <c r="H112" s="29"/>
    </row>
    <row r="113" spans="1:8" ht="12.75" customHeight="1">
      <c r="A113" s="31" t="s">
        <v>42</v>
      </c>
      <c r="B113" s="31"/>
      <c r="C113" s="21"/>
      <c r="D113" s="21"/>
      <c r="E113" s="21"/>
      <c r="F113" s="21"/>
      <c r="G113" s="19"/>
      <c r="H113" s="29"/>
    </row>
    <row r="114" spans="1:8" ht="12.75" customHeight="1">
      <c r="A114" s="31">
        <v>42586</v>
      </c>
      <c r="B114" s="31"/>
      <c r="C114" s="20">
        <f>ROUND(10.855,5)</f>
        <v>10.855</v>
      </c>
      <c r="D114" s="20">
        <f>F114</f>
        <v>10.93696</v>
      </c>
      <c r="E114" s="20">
        <f>F114</f>
        <v>10.93696</v>
      </c>
      <c r="F114" s="20">
        <f>ROUND(10.93696,5)</f>
        <v>10.93696</v>
      </c>
      <c r="G114" s="19"/>
      <c r="H114" s="29"/>
    </row>
    <row r="115" spans="1:8" ht="12.75" customHeight="1">
      <c r="A115" s="31">
        <v>42677</v>
      </c>
      <c r="B115" s="31"/>
      <c r="C115" s="20">
        <f>ROUND(10.855,5)</f>
        <v>10.855</v>
      </c>
      <c r="D115" s="20">
        <f>F115</f>
        <v>11.02353</v>
      </c>
      <c r="E115" s="20">
        <f>F115</f>
        <v>11.02353</v>
      </c>
      <c r="F115" s="20">
        <f>ROUND(11.02353,5)</f>
        <v>11.02353</v>
      </c>
      <c r="G115" s="19"/>
      <c r="H115" s="29"/>
    </row>
    <row r="116" spans="1:8" ht="12.75" customHeight="1">
      <c r="A116" s="31">
        <v>42768</v>
      </c>
      <c r="B116" s="31"/>
      <c r="C116" s="20">
        <f>ROUND(10.855,5)</f>
        <v>10.855</v>
      </c>
      <c r="D116" s="20">
        <f>F116</f>
        <v>11.10389</v>
      </c>
      <c r="E116" s="20">
        <f>F116</f>
        <v>11.10389</v>
      </c>
      <c r="F116" s="20">
        <f>ROUND(11.10389,5)</f>
        <v>11.10389</v>
      </c>
      <c r="G116" s="19"/>
      <c r="H116" s="29"/>
    </row>
    <row r="117" spans="1:8" ht="12.75" customHeight="1">
      <c r="A117" s="31">
        <v>42859</v>
      </c>
      <c r="B117" s="31"/>
      <c r="C117" s="20">
        <f>ROUND(10.855,5)</f>
        <v>10.855</v>
      </c>
      <c r="D117" s="20">
        <f>F117</f>
        <v>11.17115</v>
      </c>
      <c r="E117" s="20">
        <f>F117</f>
        <v>11.17115</v>
      </c>
      <c r="F117" s="20">
        <f>ROUND(11.17115,5)</f>
        <v>11.17115</v>
      </c>
      <c r="G117" s="19"/>
      <c r="H117" s="29"/>
    </row>
    <row r="118" spans="1:8" ht="12.75" customHeight="1">
      <c r="A118" s="31">
        <v>42950</v>
      </c>
      <c r="B118" s="31"/>
      <c r="C118" s="20">
        <f>ROUND(10.855,5)</f>
        <v>10.855</v>
      </c>
      <c r="D118" s="20">
        <f>F118</f>
        <v>11.26729</v>
      </c>
      <c r="E118" s="20">
        <f>F118</f>
        <v>11.26729</v>
      </c>
      <c r="F118" s="20">
        <f>ROUND(11.26729,5)</f>
        <v>11.26729</v>
      </c>
      <c r="G118" s="19"/>
      <c r="H118" s="29"/>
    </row>
    <row r="119" spans="1:8" ht="12.75" customHeight="1">
      <c r="A119" s="31" t="s">
        <v>43</v>
      </c>
      <c r="B119" s="31"/>
      <c r="C119" s="18"/>
      <c r="D119" s="18"/>
      <c r="E119" s="18"/>
      <c r="F119" s="18"/>
      <c r="G119" s="19"/>
      <c r="H119" s="29"/>
    </row>
    <row r="120" spans="1:8" ht="12.75" customHeight="1">
      <c r="A120" s="31">
        <v>42586</v>
      </c>
      <c r="B120" s="31"/>
      <c r="C120" s="20">
        <f>ROUND(151.9912164,5)</f>
        <v>151.99122</v>
      </c>
      <c r="D120" s="20">
        <f>F120</f>
        <v>152.51553</v>
      </c>
      <c r="E120" s="20">
        <f>F120</f>
        <v>152.51553</v>
      </c>
      <c r="F120" s="20">
        <f>ROUND(152.51553,5)</f>
        <v>152.51553</v>
      </c>
      <c r="G120" s="19"/>
      <c r="H120" s="29"/>
    </row>
    <row r="121" spans="1:8" ht="12.75" customHeight="1">
      <c r="A121" s="31">
        <v>42677</v>
      </c>
      <c r="B121" s="31"/>
      <c r="C121" s="20">
        <f>ROUND(151.9912164,5)</f>
        <v>151.99122</v>
      </c>
      <c r="D121" s="20">
        <f>F121</f>
        <v>155.44473</v>
      </c>
      <c r="E121" s="20">
        <f>F121</f>
        <v>155.44473</v>
      </c>
      <c r="F121" s="20">
        <f>ROUND(155.44473,5)</f>
        <v>155.44473</v>
      </c>
      <c r="G121" s="19"/>
      <c r="H121" s="29"/>
    </row>
    <row r="122" spans="1:8" ht="12.75" customHeight="1">
      <c r="A122" s="31" t="s">
        <v>44</v>
      </c>
      <c r="B122" s="31"/>
      <c r="C122" s="18"/>
      <c r="D122" s="18"/>
      <c r="E122" s="18"/>
      <c r="F122" s="18"/>
      <c r="G122" s="19"/>
      <c r="H122" s="29"/>
    </row>
    <row r="123" spans="1:8" ht="12.75" customHeight="1">
      <c r="A123" s="31">
        <v>42586</v>
      </c>
      <c r="B123" s="31"/>
      <c r="C123" s="20">
        <f>ROUND(8.97,5)</f>
        <v>8.97</v>
      </c>
      <c r="D123" s="20">
        <f>F123</f>
        <v>9.02628</v>
      </c>
      <c r="E123" s="20">
        <f>F123</f>
        <v>9.02628</v>
      </c>
      <c r="F123" s="20">
        <f>ROUND(9.02628,5)</f>
        <v>9.02628</v>
      </c>
      <c r="G123" s="19"/>
      <c r="H123" s="29"/>
    </row>
    <row r="124" spans="1:8" ht="12.75" customHeight="1">
      <c r="A124" s="31">
        <v>42677</v>
      </c>
      <c r="B124" s="31"/>
      <c r="C124" s="20">
        <f>ROUND(8.97,5)</f>
        <v>8.97</v>
      </c>
      <c r="D124" s="20">
        <f>F124</f>
        <v>9.0874</v>
      </c>
      <c r="E124" s="20">
        <f>F124</f>
        <v>9.0874</v>
      </c>
      <c r="F124" s="20">
        <f>ROUND(9.0874,5)</f>
        <v>9.0874</v>
      </c>
      <c r="G124" s="19"/>
      <c r="H124" s="29"/>
    </row>
    <row r="125" spans="1:8" ht="12.75" customHeight="1">
      <c r="A125" s="31">
        <v>42768</v>
      </c>
      <c r="B125" s="31"/>
      <c r="C125" s="20">
        <f>ROUND(8.97,5)</f>
        <v>8.97</v>
      </c>
      <c r="D125" s="20">
        <f>F125</f>
        <v>9.13908</v>
      </c>
      <c r="E125" s="20">
        <f>F125</f>
        <v>9.13908</v>
      </c>
      <c r="F125" s="20">
        <f>ROUND(9.13908,5)</f>
        <v>9.13908</v>
      </c>
      <c r="G125" s="19"/>
      <c r="H125" s="29"/>
    </row>
    <row r="126" spans="1:8" ht="12.75" customHeight="1">
      <c r="A126" s="31">
        <v>42859</v>
      </c>
      <c r="B126" s="31"/>
      <c r="C126" s="20">
        <f>ROUND(8.97,5)</f>
        <v>8.97</v>
      </c>
      <c r="D126" s="20">
        <f>F126</f>
        <v>9.15595</v>
      </c>
      <c r="E126" s="20">
        <f>F126</f>
        <v>9.15595</v>
      </c>
      <c r="F126" s="20">
        <f>ROUND(9.15595,5)</f>
        <v>9.15595</v>
      </c>
      <c r="G126" s="19"/>
      <c r="H126" s="29"/>
    </row>
    <row r="127" spans="1:8" ht="12.75" customHeight="1">
      <c r="A127" s="31">
        <v>42950</v>
      </c>
      <c r="B127" s="31"/>
      <c r="C127" s="20">
        <f>ROUND(8.97,5)</f>
        <v>8.97</v>
      </c>
      <c r="D127" s="20">
        <f>F127</f>
        <v>9.22959</v>
      </c>
      <c r="E127" s="20">
        <f>F127</f>
        <v>9.22959</v>
      </c>
      <c r="F127" s="20">
        <f>ROUND(9.22959,5)</f>
        <v>9.22959</v>
      </c>
      <c r="G127" s="19"/>
      <c r="H127" s="29"/>
    </row>
    <row r="128" spans="1:8" ht="12.75" customHeight="1">
      <c r="A128" s="31" t="s">
        <v>45</v>
      </c>
      <c r="B128" s="31"/>
      <c r="C128" s="18"/>
      <c r="D128" s="18"/>
      <c r="E128" s="18"/>
      <c r="F128" s="18"/>
      <c r="G128" s="19"/>
      <c r="H128" s="29"/>
    </row>
    <row r="129" spans="1:8" ht="12.75" customHeight="1">
      <c r="A129" s="31">
        <v>42586</v>
      </c>
      <c r="B129" s="31"/>
      <c r="C129" s="20">
        <f>ROUND(9.78,5)</f>
        <v>9.78</v>
      </c>
      <c r="D129" s="20">
        <f>F129</f>
        <v>9.83393</v>
      </c>
      <c r="E129" s="20">
        <f>F129</f>
        <v>9.83393</v>
      </c>
      <c r="F129" s="20">
        <f>ROUND(9.83393,5)</f>
        <v>9.83393</v>
      </c>
      <c r="G129" s="19"/>
      <c r="H129" s="29"/>
    </row>
    <row r="130" spans="1:8" ht="12.75" customHeight="1">
      <c r="A130" s="31">
        <v>42677</v>
      </c>
      <c r="B130" s="31"/>
      <c r="C130" s="20">
        <f>ROUND(9.78,5)</f>
        <v>9.78</v>
      </c>
      <c r="D130" s="20">
        <f>F130</f>
        <v>9.89153</v>
      </c>
      <c r="E130" s="20">
        <f>F130</f>
        <v>9.89153</v>
      </c>
      <c r="F130" s="20">
        <f>ROUND(9.89153,5)</f>
        <v>9.89153</v>
      </c>
      <c r="G130" s="19"/>
      <c r="H130" s="29"/>
    </row>
    <row r="131" spans="1:8" ht="12.75" customHeight="1">
      <c r="A131" s="31">
        <v>42768</v>
      </c>
      <c r="B131" s="31"/>
      <c r="C131" s="20">
        <f>ROUND(9.78,5)</f>
        <v>9.78</v>
      </c>
      <c r="D131" s="20">
        <f>F131</f>
        <v>9.94385</v>
      </c>
      <c r="E131" s="20">
        <f>F131</f>
        <v>9.94385</v>
      </c>
      <c r="F131" s="20">
        <f>ROUND(9.94385,5)</f>
        <v>9.94385</v>
      </c>
      <c r="G131" s="19"/>
      <c r="H131" s="29"/>
    </row>
    <row r="132" spans="1:8" ht="12.75" customHeight="1">
      <c r="A132" s="31">
        <v>42859</v>
      </c>
      <c r="B132" s="31"/>
      <c r="C132" s="20">
        <f>ROUND(9.78,5)</f>
        <v>9.78</v>
      </c>
      <c r="D132" s="20">
        <f>F132</f>
        <v>9.97611</v>
      </c>
      <c r="E132" s="20">
        <f>F132</f>
        <v>9.97611</v>
      </c>
      <c r="F132" s="20">
        <f>ROUND(9.97611,5)</f>
        <v>9.97611</v>
      </c>
      <c r="G132" s="19"/>
      <c r="H132" s="29"/>
    </row>
    <row r="133" spans="1:8" ht="12.75" customHeight="1">
      <c r="A133" s="31">
        <v>42950</v>
      </c>
      <c r="B133" s="31"/>
      <c r="C133" s="20">
        <f>ROUND(9.78,5)</f>
        <v>9.78</v>
      </c>
      <c r="D133" s="20">
        <f>F133</f>
        <v>10.03906</v>
      </c>
      <c r="E133" s="20">
        <f>F133</f>
        <v>10.03906</v>
      </c>
      <c r="F133" s="20">
        <f>ROUND(10.03906,5)</f>
        <v>10.03906</v>
      </c>
      <c r="G133" s="19"/>
      <c r="H133" s="29"/>
    </row>
    <row r="134" spans="1:8" ht="12.75" customHeight="1">
      <c r="A134" s="31" t="s">
        <v>46</v>
      </c>
      <c r="B134" s="31"/>
      <c r="C134" s="18"/>
      <c r="D134" s="18"/>
      <c r="E134" s="18"/>
      <c r="F134" s="18"/>
      <c r="G134" s="19"/>
      <c r="H134" s="29"/>
    </row>
    <row r="135" spans="1:8" ht="12.75" customHeight="1">
      <c r="A135" s="31">
        <v>42586</v>
      </c>
      <c r="B135" s="31"/>
      <c r="C135" s="20">
        <f>ROUND(9.2,5)</f>
        <v>9.2</v>
      </c>
      <c r="D135" s="20">
        <f>F135</f>
        <v>9.25526</v>
      </c>
      <c r="E135" s="20">
        <f>F135</f>
        <v>9.25526</v>
      </c>
      <c r="F135" s="20">
        <f>ROUND(9.25526,5)</f>
        <v>9.25526</v>
      </c>
      <c r="G135" s="19"/>
      <c r="H135" s="29"/>
    </row>
    <row r="136" spans="1:8" ht="12.75" customHeight="1">
      <c r="A136" s="31">
        <v>42677</v>
      </c>
      <c r="B136" s="31"/>
      <c r="C136" s="20">
        <f>ROUND(9.2,5)</f>
        <v>9.2</v>
      </c>
      <c r="D136" s="20">
        <f>F136</f>
        <v>9.30943</v>
      </c>
      <c r="E136" s="20">
        <f>F136</f>
        <v>9.30943</v>
      </c>
      <c r="F136" s="20">
        <f>ROUND(9.30943,5)</f>
        <v>9.30943</v>
      </c>
      <c r="G136" s="19"/>
      <c r="H136" s="29"/>
    </row>
    <row r="137" spans="1:8" ht="12.75" customHeight="1">
      <c r="A137" s="31">
        <v>42768</v>
      </c>
      <c r="B137" s="31"/>
      <c r="C137" s="20">
        <f>ROUND(9.2,5)</f>
        <v>9.2</v>
      </c>
      <c r="D137" s="20">
        <f>F137</f>
        <v>9.3542</v>
      </c>
      <c r="E137" s="20">
        <f>F137</f>
        <v>9.3542</v>
      </c>
      <c r="F137" s="20">
        <f>ROUND(9.3542,5)</f>
        <v>9.3542</v>
      </c>
      <c r="G137" s="19"/>
      <c r="H137" s="29"/>
    </row>
    <row r="138" spans="1:8" ht="12.75" customHeight="1">
      <c r="A138" s="31">
        <v>42859</v>
      </c>
      <c r="B138" s="31"/>
      <c r="C138" s="20">
        <f>ROUND(9.2,5)</f>
        <v>9.2</v>
      </c>
      <c r="D138" s="20">
        <f>F138</f>
        <v>9.37825</v>
      </c>
      <c r="E138" s="20">
        <f>F138</f>
        <v>9.37825</v>
      </c>
      <c r="F138" s="20">
        <f>ROUND(9.37825,5)</f>
        <v>9.37825</v>
      </c>
      <c r="G138" s="19"/>
      <c r="H138" s="29"/>
    </row>
    <row r="139" spans="1:8" ht="12.75" customHeight="1">
      <c r="A139" s="31">
        <v>42950</v>
      </c>
      <c r="B139" s="31"/>
      <c r="C139" s="20">
        <f>ROUND(9.2,5)</f>
        <v>9.2</v>
      </c>
      <c r="D139" s="20">
        <f>F139</f>
        <v>9.44463</v>
      </c>
      <c r="E139" s="20">
        <f>F139</f>
        <v>9.44463</v>
      </c>
      <c r="F139" s="20">
        <f>ROUND(9.44463,5)</f>
        <v>9.44463</v>
      </c>
      <c r="G139" s="19"/>
      <c r="H139" s="29"/>
    </row>
    <row r="140" spans="1:8" ht="12.75" customHeight="1">
      <c r="A140" s="31" t="s">
        <v>47</v>
      </c>
      <c r="B140" s="31"/>
      <c r="C140" s="18"/>
      <c r="D140" s="18"/>
      <c r="E140" s="18"/>
      <c r="F140" s="18"/>
      <c r="G140" s="19"/>
      <c r="H140" s="29"/>
    </row>
    <row r="141" spans="1:8" ht="12.75" customHeight="1">
      <c r="A141" s="31">
        <v>42586</v>
      </c>
      <c r="B141" s="31"/>
      <c r="C141" s="20">
        <f>ROUND(1.61,5)</f>
        <v>1.61</v>
      </c>
      <c r="D141" s="20">
        <f>F141</f>
        <v>299.02767</v>
      </c>
      <c r="E141" s="20">
        <f>F141</f>
        <v>299.02767</v>
      </c>
      <c r="F141" s="20">
        <f>ROUND(299.02767,5)</f>
        <v>299.02767</v>
      </c>
      <c r="G141" s="19"/>
      <c r="H141" s="29"/>
    </row>
    <row r="142" spans="1:8" ht="12.75" customHeight="1">
      <c r="A142" s="31">
        <v>42677</v>
      </c>
      <c r="B142" s="31"/>
      <c r="C142" s="20">
        <f>ROUND(1.61,5)</f>
        <v>1.61</v>
      </c>
      <c r="D142" s="20">
        <f>F142</f>
        <v>304.77075</v>
      </c>
      <c r="E142" s="20">
        <f>F142</f>
        <v>304.77075</v>
      </c>
      <c r="F142" s="20">
        <f>ROUND(304.77075,5)</f>
        <v>304.77075</v>
      </c>
      <c r="G142" s="19"/>
      <c r="H142" s="29"/>
    </row>
    <row r="143" spans="1:8" ht="12.75" customHeight="1">
      <c r="A143" s="31">
        <v>42768</v>
      </c>
      <c r="B143" s="31"/>
      <c r="C143" s="20">
        <f>ROUND(1.61,5)</f>
        <v>1.61</v>
      </c>
      <c r="D143" s="20">
        <f>F143</f>
        <v>304.18421</v>
      </c>
      <c r="E143" s="20">
        <f>F143</f>
        <v>304.18421</v>
      </c>
      <c r="F143" s="20">
        <f>ROUND(304.18421,5)</f>
        <v>304.18421</v>
      </c>
      <c r="G143" s="19"/>
      <c r="H143" s="29"/>
    </row>
    <row r="144" spans="1:8" ht="12.75" customHeight="1">
      <c r="A144" s="31">
        <v>42859</v>
      </c>
      <c r="B144" s="31"/>
      <c r="C144" s="20">
        <f>ROUND(1.61,5)</f>
        <v>1.61</v>
      </c>
      <c r="D144" s="20">
        <f>F144</f>
        <v>310.7895</v>
      </c>
      <c r="E144" s="20">
        <f>F144</f>
        <v>310.7895</v>
      </c>
      <c r="F144" s="20">
        <f>ROUND(310.7895,5)</f>
        <v>310.7895</v>
      </c>
      <c r="G144" s="19"/>
      <c r="H144" s="29"/>
    </row>
    <row r="145" spans="1:8" ht="12.75" customHeight="1">
      <c r="A145" s="31">
        <v>42950</v>
      </c>
      <c r="B145" s="31"/>
      <c r="C145" s="20">
        <f>ROUND(1.61,5)</f>
        <v>1.61</v>
      </c>
      <c r="D145" s="20">
        <f>F145</f>
        <v>316.79132</v>
      </c>
      <c r="E145" s="20">
        <f>F145</f>
        <v>316.79132</v>
      </c>
      <c r="F145" s="20">
        <f>ROUND(316.79132,5)</f>
        <v>316.79132</v>
      </c>
      <c r="G145" s="19"/>
      <c r="H145" s="29"/>
    </row>
    <row r="146" spans="1:8" ht="12.75" customHeight="1">
      <c r="A146" s="31" t="s">
        <v>48</v>
      </c>
      <c r="B146" s="31"/>
      <c r="C146" s="18"/>
      <c r="D146" s="18"/>
      <c r="E146" s="18"/>
      <c r="F146" s="18"/>
      <c r="G146" s="19"/>
      <c r="H146" s="29"/>
    </row>
    <row r="147" spans="1:8" ht="12.75" customHeight="1">
      <c r="A147" s="31">
        <v>42586</v>
      </c>
      <c r="B147" s="31"/>
      <c r="C147" s="20">
        <f>ROUND(1.74,5)</f>
        <v>1.74</v>
      </c>
      <c r="D147" s="20">
        <f>F147</f>
        <v>249.86404</v>
      </c>
      <c r="E147" s="20">
        <f>F147</f>
        <v>249.86404</v>
      </c>
      <c r="F147" s="20">
        <f>ROUND(249.86404,5)</f>
        <v>249.86404</v>
      </c>
      <c r="G147" s="19"/>
      <c r="H147" s="29"/>
    </row>
    <row r="148" spans="1:8" ht="12.75" customHeight="1">
      <c r="A148" s="31">
        <v>42677</v>
      </c>
      <c r="B148" s="31"/>
      <c r="C148" s="20">
        <f>ROUND(1.74,5)</f>
        <v>1.74</v>
      </c>
      <c r="D148" s="20">
        <f>F148</f>
        <v>254.66271</v>
      </c>
      <c r="E148" s="20">
        <f>F148</f>
        <v>254.66271</v>
      </c>
      <c r="F148" s="20">
        <f>ROUND(254.66271,5)</f>
        <v>254.66271</v>
      </c>
      <c r="G148" s="19"/>
      <c r="H148" s="29"/>
    </row>
    <row r="149" spans="1:8" ht="12.75" customHeight="1">
      <c r="A149" s="31">
        <v>42768</v>
      </c>
      <c r="B149" s="31"/>
      <c r="C149" s="20">
        <f>ROUND(1.74,5)</f>
        <v>1.74</v>
      </c>
      <c r="D149" s="20">
        <f>F149</f>
        <v>256.23225</v>
      </c>
      <c r="E149" s="20">
        <f>F149</f>
        <v>256.23225</v>
      </c>
      <c r="F149" s="20">
        <f>ROUND(256.23225,5)</f>
        <v>256.23225</v>
      </c>
      <c r="G149" s="19"/>
      <c r="H149" s="29"/>
    </row>
    <row r="150" spans="1:8" ht="12.75" customHeight="1">
      <c r="A150" s="31">
        <v>42859</v>
      </c>
      <c r="B150" s="31"/>
      <c r="C150" s="20">
        <f>ROUND(1.74,5)</f>
        <v>1.74</v>
      </c>
      <c r="D150" s="20">
        <f>F150</f>
        <v>261.79456</v>
      </c>
      <c r="E150" s="20">
        <f>F150</f>
        <v>261.79456</v>
      </c>
      <c r="F150" s="20">
        <f>ROUND(261.79456,5)</f>
        <v>261.79456</v>
      </c>
      <c r="G150" s="19"/>
      <c r="H150" s="29"/>
    </row>
    <row r="151" spans="1:8" ht="12.75" customHeight="1">
      <c r="A151" s="31">
        <v>42950</v>
      </c>
      <c r="B151" s="31"/>
      <c r="C151" s="20">
        <f>ROUND(1.74,5)</f>
        <v>1.74</v>
      </c>
      <c r="D151" s="20">
        <f>F151</f>
        <v>266.85203</v>
      </c>
      <c r="E151" s="20">
        <f>F151</f>
        <v>266.85203</v>
      </c>
      <c r="F151" s="20">
        <f>ROUND(266.85203,5)</f>
        <v>266.85203</v>
      </c>
      <c r="G151" s="19"/>
      <c r="H151" s="29"/>
    </row>
    <row r="152" spans="1:8" ht="12.75" customHeight="1">
      <c r="A152" s="31" t="s">
        <v>49</v>
      </c>
      <c r="B152" s="31"/>
      <c r="C152" s="18"/>
      <c r="D152" s="18"/>
      <c r="E152" s="18"/>
      <c r="F152" s="18"/>
      <c r="G152" s="19"/>
      <c r="H152" s="29"/>
    </row>
    <row r="153" spans="1:8" ht="12.75" customHeight="1">
      <c r="A153" s="31">
        <v>42586</v>
      </c>
      <c r="B153" s="31"/>
      <c r="C153" s="20">
        <f>ROUND(7.925,5)</f>
        <v>7.925</v>
      </c>
      <c r="D153" s="20">
        <f>F153</f>
        <v>7.97792</v>
      </c>
      <c r="E153" s="20">
        <f>F153</f>
        <v>7.97792</v>
      </c>
      <c r="F153" s="20">
        <f>ROUND(7.97792,5)</f>
        <v>7.97792</v>
      </c>
      <c r="G153" s="19"/>
      <c r="H153" s="29"/>
    </row>
    <row r="154" spans="1:8" ht="12.75" customHeight="1">
      <c r="A154" s="31">
        <v>42677</v>
      </c>
      <c r="B154" s="31"/>
      <c r="C154" s="20">
        <f>ROUND(7.925,5)</f>
        <v>7.925</v>
      </c>
      <c r="D154" s="20">
        <f>F154</f>
        <v>8.0254</v>
      </c>
      <c r="E154" s="20">
        <f>F154</f>
        <v>8.0254</v>
      </c>
      <c r="F154" s="20">
        <f>ROUND(8.0254,5)</f>
        <v>8.0254</v>
      </c>
      <c r="G154" s="19"/>
      <c r="H154" s="29"/>
    </row>
    <row r="155" spans="1:8" ht="12.75" customHeight="1">
      <c r="A155" s="31">
        <v>42768</v>
      </c>
      <c r="B155" s="31"/>
      <c r="C155" s="20">
        <f>ROUND(7.925,5)</f>
        <v>7.925</v>
      </c>
      <c r="D155" s="20">
        <f>F155</f>
        <v>7.98561</v>
      </c>
      <c r="E155" s="20">
        <f>F155</f>
        <v>7.98561</v>
      </c>
      <c r="F155" s="20">
        <f>ROUND(7.98561,5)</f>
        <v>7.98561</v>
      </c>
      <c r="G155" s="19"/>
      <c r="H155" s="29"/>
    </row>
    <row r="156" spans="1:8" ht="12.75" customHeight="1">
      <c r="A156" s="31">
        <v>42859</v>
      </c>
      <c r="B156" s="31"/>
      <c r="C156" s="20">
        <f>ROUND(7.925,5)</f>
        <v>7.925</v>
      </c>
      <c r="D156" s="20">
        <f>F156</f>
        <v>7.30139</v>
      </c>
      <c r="E156" s="20">
        <f>F156</f>
        <v>7.30139</v>
      </c>
      <c r="F156" s="20">
        <f>ROUND(7.30139,5)</f>
        <v>7.30139</v>
      </c>
      <c r="G156" s="19"/>
      <c r="H156" s="29"/>
    </row>
    <row r="157" spans="1:8" ht="12.75" customHeight="1">
      <c r="A157" s="31">
        <v>42950</v>
      </c>
      <c r="B157" s="31"/>
      <c r="C157" s="20">
        <f>ROUND(7.925,5)</f>
        <v>7.925</v>
      </c>
      <c r="D157" s="20">
        <f>F157</f>
        <v>6.22663</v>
      </c>
      <c r="E157" s="20">
        <f>F157</f>
        <v>6.22663</v>
      </c>
      <c r="F157" s="20">
        <f>ROUND(6.22663,5)</f>
        <v>6.22663</v>
      </c>
      <c r="G157" s="19"/>
      <c r="H157" s="29"/>
    </row>
    <row r="158" spans="1:8" ht="12.75" customHeight="1">
      <c r="A158" s="31" t="s">
        <v>50</v>
      </c>
      <c r="B158" s="31"/>
      <c r="C158" s="18"/>
      <c r="D158" s="18"/>
      <c r="E158" s="18"/>
      <c r="F158" s="18"/>
      <c r="G158" s="19"/>
      <c r="H158" s="29"/>
    </row>
    <row r="159" spans="1:8" ht="12.75" customHeight="1">
      <c r="A159" s="31">
        <v>42586</v>
      </c>
      <c r="B159" s="31"/>
      <c r="C159" s="20">
        <f>ROUND(8.31,5)</f>
        <v>8.31</v>
      </c>
      <c r="D159" s="20">
        <f>F159</f>
        <v>8.38179</v>
      </c>
      <c r="E159" s="20">
        <f>F159</f>
        <v>8.38179</v>
      </c>
      <c r="F159" s="20">
        <f>ROUND(8.38179,5)</f>
        <v>8.38179</v>
      </c>
      <c r="G159" s="19"/>
      <c r="H159" s="29"/>
    </row>
    <row r="160" spans="1:8" ht="12.75" customHeight="1">
      <c r="A160" s="31">
        <v>42677</v>
      </c>
      <c r="B160" s="31"/>
      <c r="C160" s="20">
        <f>ROUND(8.31,5)</f>
        <v>8.31</v>
      </c>
      <c r="D160" s="20">
        <f>F160</f>
        <v>8.44889</v>
      </c>
      <c r="E160" s="20">
        <f>F160</f>
        <v>8.44889</v>
      </c>
      <c r="F160" s="20">
        <f>ROUND(8.44889,5)</f>
        <v>8.44889</v>
      </c>
      <c r="G160" s="19"/>
      <c r="H160" s="29"/>
    </row>
    <row r="161" spans="1:8" ht="12.75" customHeight="1">
      <c r="A161" s="31">
        <v>42768</v>
      </c>
      <c r="B161" s="31"/>
      <c r="C161" s="20">
        <f>ROUND(8.31,5)</f>
        <v>8.31</v>
      </c>
      <c r="D161" s="20">
        <f>F161</f>
        <v>8.48723</v>
      </c>
      <c r="E161" s="20">
        <f>F161</f>
        <v>8.48723</v>
      </c>
      <c r="F161" s="20">
        <f>ROUND(8.48723,5)</f>
        <v>8.48723</v>
      </c>
      <c r="G161" s="19"/>
      <c r="H161" s="29"/>
    </row>
    <row r="162" spans="1:8" ht="12.75" customHeight="1">
      <c r="A162" s="31">
        <v>42859</v>
      </c>
      <c r="B162" s="31"/>
      <c r="C162" s="20">
        <f>ROUND(8.31,5)</f>
        <v>8.31</v>
      </c>
      <c r="D162" s="20">
        <f>F162</f>
        <v>8.44228</v>
      </c>
      <c r="E162" s="20">
        <f>F162</f>
        <v>8.44228</v>
      </c>
      <c r="F162" s="20">
        <f>ROUND(8.44228,5)</f>
        <v>8.44228</v>
      </c>
      <c r="G162" s="19"/>
      <c r="H162" s="29"/>
    </row>
    <row r="163" spans="1:8" ht="12.75" customHeight="1">
      <c r="A163" s="31">
        <v>42950</v>
      </c>
      <c r="B163" s="31"/>
      <c r="C163" s="20">
        <f>ROUND(8.31,5)</f>
        <v>8.31</v>
      </c>
      <c r="D163" s="20">
        <f>F163</f>
        <v>8.57197</v>
      </c>
      <c r="E163" s="20">
        <f>F163</f>
        <v>8.57197</v>
      </c>
      <c r="F163" s="20">
        <f>ROUND(8.57197,5)</f>
        <v>8.57197</v>
      </c>
      <c r="G163" s="19"/>
      <c r="H163" s="29"/>
    </row>
    <row r="164" spans="1:8" ht="12.75" customHeight="1">
      <c r="A164" s="31" t="s">
        <v>51</v>
      </c>
      <c r="B164" s="31"/>
      <c r="C164" s="18"/>
      <c r="D164" s="18"/>
      <c r="E164" s="18"/>
      <c r="F164" s="18"/>
      <c r="G164" s="19"/>
      <c r="H164" s="29"/>
    </row>
    <row r="165" spans="1:8" ht="12.75" customHeight="1">
      <c r="A165" s="31">
        <v>42586</v>
      </c>
      <c r="B165" s="31"/>
      <c r="C165" s="20">
        <f>ROUND(8.58,5)</f>
        <v>8.58</v>
      </c>
      <c r="D165" s="20">
        <f>F165</f>
        <v>8.65358</v>
      </c>
      <c r="E165" s="20">
        <f>F165</f>
        <v>8.65358</v>
      </c>
      <c r="F165" s="20">
        <f>ROUND(8.65358,5)</f>
        <v>8.65358</v>
      </c>
      <c r="G165" s="19"/>
      <c r="H165" s="29"/>
    </row>
    <row r="166" spans="1:8" ht="12.75" customHeight="1">
      <c r="A166" s="31">
        <v>42677</v>
      </c>
      <c r="B166" s="31"/>
      <c r="C166" s="20">
        <f>ROUND(8.58,5)</f>
        <v>8.58</v>
      </c>
      <c r="D166" s="20">
        <f>F166</f>
        <v>8.71888</v>
      </c>
      <c r="E166" s="20">
        <f>F166</f>
        <v>8.71888</v>
      </c>
      <c r="F166" s="20">
        <f>ROUND(8.71888,5)</f>
        <v>8.71888</v>
      </c>
      <c r="G166" s="19"/>
      <c r="H166" s="29"/>
    </row>
    <row r="167" spans="1:8" ht="12.75" customHeight="1">
      <c r="A167" s="31">
        <v>42768</v>
      </c>
      <c r="B167" s="31"/>
      <c r="C167" s="20">
        <f>ROUND(8.58,5)</f>
        <v>8.58</v>
      </c>
      <c r="D167" s="20">
        <f>F167</f>
        <v>8.76658</v>
      </c>
      <c r="E167" s="20">
        <f>F167</f>
        <v>8.76658</v>
      </c>
      <c r="F167" s="20">
        <f>ROUND(8.76658,5)</f>
        <v>8.76658</v>
      </c>
      <c r="G167" s="19"/>
      <c r="H167" s="29"/>
    </row>
    <row r="168" spans="1:8" ht="12.75" customHeight="1">
      <c r="A168" s="31">
        <v>42859</v>
      </c>
      <c r="B168" s="31"/>
      <c r="C168" s="20">
        <f>ROUND(8.58,5)</f>
        <v>8.58</v>
      </c>
      <c r="D168" s="20">
        <f>F168</f>
        <v>8.77235</v>
      </c>
      <c r="E168" s="20">
        <f>F168</f>
        <v>8.77235</v>
      </c>
      <c r="F168" s="20">
        <f>ROUND(8.77235,5)</f>
        <v>8.77235</v>
      </c>
      <c r="G168" s="19"/>
      <c r="H168" s="29"/>
    </row>
    <row r="169" spans="1:8" ht="12.75" customHeight="1">
      <c r="A169" s="31">
        <v>42950</v>
      </c>
      <c r="B169" s="31"/>
      <c r="C169" s="20">
        <f>ROUND(8.58,5)</f>
        <v>8.58</v>
      </c>
      <c r="D169" s="20">
        <f>F169</f>
        <v>8.88938</v>
      </c>
      <c r="E169" s="20">
        <f>F169</f>
        <v>8.88938</v>
      </c>
      <c r="F169" s="20">
        <f>ROUND(8.88938,5)</f>
        <v>8.88938</v>
      </c>
      <c r="G169" s="19"/>
      <c r="H169" s="29"/>
    </row>
    <row r="170" spans="1:8" ht="12.75" customHeight="1">
      <c r="A170" s="31" t="s">
        <v>52</v>
      </c>
      <c r="B170" s="31"/>
      <c r="C170" s="18"/>
      <c r="D170" s="18"/>
      <c r="E170" s="18"/>
      <c r="F170" s="18"/>
      <c r="G170" s="19"/>
      <c r="H170" s="29"/>
    </row>
    <row r="171" spans="1:8" ht="12.75" customHeight="1">
      <c r="A171" s="31">
        <v>42586</v>
      </c>
      <c r="B171" s="31"/>
      <c r="C171" s="20">
        <f>ROUND(8.725,5)</f>
        <v>8.725</v>
      </c>
      <c r="D171" s="20">
        <f>F171</f>
        <v>8.78843</v>
      </c>
      <c r="E171" s="20">
        <f>F171</f>
        <v>8.78843</v>
      </c>
      <c r="F171" s="20">
        <f>ROUND(8.78843,5)</f>
        <v>8.78843</v>
      </c>
      <c r="G171" s="19"/>
      <c r="H171" s="29"/>
    </row>
    <row r="172" spans="1:8" ht="12.75" customHeight="1">
      <c r="A172" s="31">
        <v>42677</v>
      </c>
      <c r="B172" s="31"/>
      <c r="C172" s="20">
        <f>ROUND(8.725,5)</f>
        <v>8.725</v>
      </c>
      <c r="D172" s="20">
        <f>F172</f>
        <v>8.85126</v>
      </c>
      <c r="E172" s="20">
        <f>F172</f>
        <v>8.85126</v>
      </c>
      <c r="F172" s="20">
        <f>ROUND(8.85126,5)</f>
        <v>8.85126</v>
      </c>
      <c r="G172" s="19"/>
      <c r="H172" s="29"/>
    </row>
    <row r="173" spans="1:8" ht="12.75" customHeight="1">
      <c r="A173" s="31">
        <v>42768</v>
      </c>
      <c r="B173" s="31"/>
      <c r="C173" s="20">
        <f>ROUND(8.725,5)</f>
        <v>8.725</v>
      </c>
      <c r="D173" s="20">
        <f>F173</f>
        <v>8.89953</v>
      </c>
      <c r="E173" s="20">
        <f>F173</f>
        <v>8.89953</v>
      </c>
      <c r="F173" s="20">
        <f>ROUND(8.89953,5)</f>
        <v>8.89953</v>
      </c>
      <c r="G173" s="19"/>
      <c r="H173" s="29"/>
    </row>
    <row r="174" spans="1:8" ht="12.75" customHeight="1">
      <c r="A174" s="31">
        <v>42859</v>
      </c>
      <c r="B174" s="31"/>
      <c r="C174" s="20">
        <f>ROUND(8.725,5)</f>
        <v>8.725</v>
      </c>
      <c r="D174" s="20">
        <f>F174</f>
        <v>8.90865</v>
      </c>
      <c r="E174" s="20">
        <f>F174</f>
        <v>8.90865</v>
      </c>
      <c r="F174" s="20">
        <f>ROUND(8.90865,5)</f>
        <v>8.90865</v>
      </c>
      <c r="G174" s="19"/>
      <c r="H174" s="29"/>
    </row>
    <row r="175" spans="1:8" ht="12.75" customHeight="1">
      <c r="A175" s="31">
        <v>42950</v>
      </c>
      <c r="B175" s="31"/>
      <c r="C175" s="20">
        <f>ROUND(8.725,5)</f>
        <v>8.725</v>
      </c>
      <c r="D175" s="20">
        <f>F175</f>
        <v>8.99532</v>
      </c>
      <c r="E175" s="20">
        <f>F175</f>
        <v>8.99532</v>
      </c>
      <c r="F175" s="20">
        <f>ROUND(8.99532,5)</f>
        <v>8.99532</v>
      </c>
      <c r="G175" s="19"/>
      <c r="H175" s="29"/>
    </row>
    <row r="176" spans="1:8" ht="12.75" customHeight="1">
      <c r="A176" s="31" t="s">
        <v>53</v>
      </c>
      <c r="B176" s="31"/>
      <c r="C176" s="18"/>
      <c r="D176" s="18"/>
      <c r="E176" s="18"/>
      <c r="F176" s="18"/>
      <c r="G176" s="19"/>
      <c r="H176" s="29"/>
    </row>
    <row r="177" spans="1:8" ht="12.75" customHeight="1">
      <c r="A177" s="31">
        <v>42586</v>
      </c>
      <c r="B177" s="31"/>
      <c r="C177" s="20">
        <f>ROUND(9.72,5)</f>
        <v>9.72</v>
      </c>
      <c r="D177" s="20">
        <f>F177</f>
        <v>9.76978</v>
      </c>
      <c r="E177" s="20">
        <f>F177</f>
        <v>9.76978</v>
      </c>
      <c r="F177" s="20">
        <f>ROUND(9.76978,5)</f>
        <v>9.76978</v>
      </c>
      <c r="G177" s="19"/>
      <c r="H177" s="29"/>
    </row>
    <row r="178" spans="1:8" ht="12.75" customHeight="1">
      <c r="A178" s="31">
        <v>42677</v>
      </c>
      <c r="B178" s="31"/>
      <c r="C178" s="20">
        <f>ROUND(9.72,5)</f>
        <v>9.72</v>
      </c>
      <c r="D178" s="20">
        <f>F178</f>
        <v>9.81995</v>
      </c>
      <c r="E178" s="20">
        <f>F178</f>
        <v>9.81995</v>
      </c>
      <c r="F178" s="20">
        <f>ROUND(9.81995,5)</f>
        <v>9.81995</v>
      </c>
      <c r="G178" s="19"/>
      <c r="H178" s="29"/>
    </row>
    <row r="179" spans="1:8" ht="12.75" customHeight="1">
      <c r="A179" s="31">
        <v>42768</v>
      </c>
      <c r="B179" s="31"/>
      <c r="C179" s="20">
        <f>ROUND(9.72,5)</f>
        <v>9.72</v>
      </c>
      <c r="D179" s="20">
        <f>F179</f>
        <v>9.86364</v>
      </c>
      <c r="E179" s="20">
        <f>F179</f>
        <v>9.86364</v>
      </c>
      <c r="F179" s="20">
        <f>ROUND(9.86364,5)</f>
        <v>9.86364</v>
      </c>
      <c r="G179" s="19"/>
      <c r="H179" s="29"/>
    </row>
    <row r="180" spans="1:8" ht="12.75" customHeight="1">
      <c r="A180" s="31">
        <v>42859</v>
      </c>
      <c r="B180" s="31"/>
      <c r="C180" s="20">
        <f>ROUND(9.72,5)</f>
        <v>9.72</v>
      </c>
      <c r="D180" s="20">
        <f>F180</f>
        <v>9.8924</v>
      </c>
      <c r="E180" s="20">
        <f>F180</f>
        <v>9.8924</v>
      </c>
      <c r="F180" s="20">
        <f>ROUND(9.8924,5)</f>
        <v>9.8924</v>
      </c>
      <c r="G180" s="19"/>
      <c r="H180" s="29"/>
    </row>
    <row r="181" spans="1:8" ht="12.75" customHeight="1">
      <c r="A181" s="31">
        <v>42950</v>
      </c>
      <c r="B181" s="31"/>
      <c r="C181" s="20">
        <f>ROUND(9.72,5)</f>
        <v>9.72</v>
      </c>
      <c r="D181" s="20">
        <f>F181</f>
        <v>9.94822</v>
      </c>
      <c r="E181" s="20">
        <f>F181</f>
        <v>9.94822</v>
      </c>
      <c r="F181" s="20">
        <f>ROUND(9.94822,5)</f>
        <v>9.94822</v>
      </c>
      <c r="G181" s="19"/>
      <c r="H181" s="29"/>
    </row>
    <row r="182" spans="1:8" ht="12.75" customHeight="1">
      <c r="A182" s="31" t="s">
        <v>54</v>
      </c>
      <c r="B182" s="31"/>
      <c r="C182" s="18"/>
      <c r="D182" s="18"/>
      <c r="E182" s="18"/>
      <c r="F182" s="18"/>
      <c r="G182" s="19"/>
      <c r="H182" s="29"/>
    </row>
    <row r="183" spans="1:8" ht="12.75" customHeight="1">
      <c r="A183" s="31">
        <v>42586</v>
      </c>
      <c r="B183" s="31"/>
      <c r="C183" s="20">
        <f>ROUND(1.725,5)</f>
        <v>1.725</v>
      </c>
      <c r="D183" s="20">
        <f>F183</f>
        <v>187.81994</v>
      </c>
      <c r="E183" s="20">
        <f>F183</f>
        <v>187.81994</v>
      </c>
      <c r="F183" s="20">
        <f>ROUND(187.81994,5)</f>
        <v>187.81994</v>
      </c>
      <c r="G183" s="19"/>
      <c r="H183" s="29"/>
    </row>
    <row r="184" spans="1:8" ht="12.75" customHeight="1">
      <c r="A184" s="31">
        <v>42677</v>
      </c>
      <c r="B184" s="31"/>
      <c r="C184" s="20">
        <f>ROUND(1.725,5)</f>
        <v>1.725</v>
      </c>
      <c r="D184" s="20">
        <f>F184</f>
        <v>189.13674</v>
      </c>
      <c r="E184" s="20">
        <f>F184</f>
        <v>189.13674</v>
      </c>
      <c r="F184" s="20">
        <f>ROUND(189.13674,5)</f>
        <v>189.13674</v>
      </c>
      <c r="G184" s="19"/>
      <c r="H184" s="29"/>
    </row>
    <row r="185" spans="1:8" ht="12.75" customHeight="1">
      <c r="A185" s="31">
        <v>42768</v>
      </c>
      <c r="B185" s="31"/>
      <c r="C185" s="20">
        <f>ROUND(1.725,5)</f>
        <v>1.725</v>
      </c>
      <c r="D185" s="20">
        <f>F185</f>
        <v>192.97172</v>
      </c>
      <c r="E185" s="20">
        <f>F185</f>
        <v>192.97172</v>
      </c>
      <c r="F185" s="20">
        <f>ROUND(192.97172,5)</f>
        <v>192.97172</v>
      </c>
      <c r="G185" s="19"/>
      <c r="H185" s="29"/>
    </row>
    <row r="186" spans="1:8" ht="12.75" customHeight="1">
      <c r="A186" s="31">
        <v>42859</v>
      </c>
      <c r="B186" s="31"/>
      <c r="C186" s="20">
        <f>ROUND(1.725,5)</f>
        <v>1.725</v>
      </c>
      <c r="D186" s="20">
        <f>F186</f>
        <v>194.82586</v>
      </c>
      <c r="E186" s="20">
        <f>F186</f>
        <v>194.82586</v>
      </c>
      <c r="F186" s="20">
        <f>ROUND(194.82586,5)</f>
        <v>194.82586</v>
      </c>
      <c r="G186" s="19"/>
      <c r="H186" s="29"/>
    </row>
    <row r="187" spans="1:8" ht="12.75" customHeight="1">
      <c r="A187" s="31">
        <v>42950</v>
      </c>
      <c r="B187" s="31"/>
      <c r="C187" s="20">
        <f>ROUND(1.725,5)</f>
        <v>1.725</v>
      </c>
      <c r="D187" s="20">
        <f>F187</f>
        <v>198.58781</v>
      </c>
      <c r="E187" s="20">
        <f>F187</f>
        <v>198.58781</v>
      </c>
      <c r="F187" s="20">
        <f>ROUND(198.58781,5)</f>
        <v>198.58781</v>
      </c>
      <c r="G187" s="19"/>
      <c r="H187" s="29"/>
    </row>
    <row r="188" spans="1:8" ht="12.75" customHeight="1">
      <c r="A188" s="31" t="s">
        <v>55</v>
      </c>
      <c r="B188" s="31"/>
      <c r="C188" s="18"/>
      <c r="D188" s="18"/>
      <c r="E188" s="18"/>
      <c r="F188" s="18"/>
      <c r="G188" s="19"/>
      <c r="H188" s="29"/>
    </row>
    <row r="189" spans="1:8" ht="12.75" customHeight="1">
      <c r="A189" s="31">
        <v>42586</v>
      </c>
      <c r="B189" s="31"/>
      <c r="C189" s="20">
        <f>ROUND(0.35,5)</f>
        <v>0.35</v>
      </c>
      <c r="D189" s="20">
        <f>F189</f>
        <v>139.77534</v>
      </c>
      <c r="E189" s="20">
        <f>F189</f>
        <v>139.77534</v>
      </c>
      <c r="F189" s="20">
        <f>ROUND(139.77534,5)</f>
        <v>139.77534</v>
      </c>
      <c r="G189" s="19"/>
      <c r="H189" s="29"/>
    </row>
    <row r="190" spans="1:8" ht="12.75" customHeight="1">
      <c r="A190" s="31">
        <v>42677</v>
      </c>
      <c r="B190" s="31"/>
      <c r="C190" s="20">
        <f>ROUND(0.35,5)</f>
        <v>0.35</v>
      </c>
      <c r="D190" s="20">
        <f>F190</f>
        <v>142.45986</v>
      </c>
      <c r="E190" s="20">
        <f>F190</f>
        <v>142.45986</v>
      </c>
      <c r="F190" s="20">
        <f>ROUND(142.45986,5)</f>
        <v>142.45986</v>
      </c>
      <c r="G190" s="19"/>
      <c r="H190" s="29"/>
    </row>
    <row r="191" spans="1:8" ht="12.75" customHeight="1">
      <c r="A191" s="31">
        <v>42768</v>
      </c>
      <c r="B191" s="31"/>
      <c r="C191" s="20">
        <f>ROUND(0.35,5)</f>
        <v>0.35</v>
      </c>
      <c r="D191" s="20">
        <f>F191</f>
        <v>141.66256</v>
      </c>
      <c r="E191" s="20">
        <f>F191</f>
        <v>141.66256</v>
      </c>
      <c r="F191" s="20">
        <f>ROUND(141.66256,5)</f>
        <v>141.66256</v>
      </c>
      <c r="G191" s="19"/>
      <c r="H191" s="29"/>
    </row>
    <row r="192" spans="1:8" ht="12.75" customHeight="1">
      <c r="A192" s="31">
        <v>42859</v>
      </c>
      <c r="B192" s="31"/>
      <c r="C192" s="20">
        <f>ROUND(0.35,5)</f>
        <v>0.35</v>
      </c>
      <c r="D192" s="20">
        <f>F192</f>
        <v>141.66256</v>
      </c>
      <c r="E192" s="20">
        <f>F192</f>
        <v>141.66256</v>
      </c>
      <c r="F192" s="20">
        <f>ROUND(141.66256,5)</f>
        <v>141.66256</v>
      </c>
      <c r="G192" s="19"/>
      <c r="H192" s="29"/>
    </row>
    <row r="193" spans="1:8" ht="12.75" customHeight="1">
      <c r="A193" s="31">
        <v>42950</v>
      </c>
      <c r="B193" s="31"/>
      <c r="C193" s="20">
        <f>ROUND(0.35,5)</f>
        <v>0.35</v>
      </c>
      <c r="D193" s="20">
        <f>F193</f>
        <v>141.66256</v>
      </c>
      <c r="E193" s="20">
        <f>F193</f>
        <v>141.66256</v>
      </c>
      <c r="F193" s="20">
        <f>ROUND(141.66256,5)</f>
        <v>141.66256</v>
      </c>
      <c r="G193" s="19"/>
      <c r="H193" s="29"/>
    </row>
    <row r="194" spans="1:8" ht="12.75" customHeight="1">
      <c r="A194" s="31" t="s">
        <v>56</v>
      </c>
      <c r="B194" s="31"/>
      <c r="C194" s="18"/>
      <c r="D194" s="18"/>
      <c r="E194" s="18"/>
      <c r="F194" s="18"/>
      <c r="G194" s="19"/>
      <c r="H194" s="29"/>
    </row>
    <row r="195" spans="1:8" ht="12.75" customHeight="1">
      <c r="A195" s="31">
        <v>42586</v>
      </c>
      <c r="B195" s="31"/>
      <c r="C195" s="20">
        <f>ROUND(1.6,5)</f>
        <v>1.6</v>
      </c>
      <c r="D195" s="20">
        <f>F195</f>
        <v>145.93926</v>
      </c>
      <c r="E195" s="20">
        <f>F195</f>
        <v>145.93926</v>
      </c>
      <c r="F195" s="20">
        <f>ROUND(145.93926,5)</f>
        <v>145.93926</v>
      </c>
      <c r="G195" s="19"/>
      <c r="H195" s="29"/>
    </row>
    <row r="196" spans="1:8" ht="12.75" customHeight="1">
      <c r="A196" s="31">
        <v>42677</v>
      </c>
      <c r="B196" s="31"/>
      <c r="C196" s="20">
        <f>ROUND(1.6,5)</f>
        <v>1.6</v>
      </c>
      <c r="D196" s="20">
        <f>F196</f>
        <v>148.74217</v>
      </c>
      <c r="E196" s="20">
        <f>F196</f>
        <v>148.74217</v>
      </c>
      <c r="F196" s="20">
        <f>ROUND(148.74217,5)</f>
        <v>148.74217</v>
      </c>
      <c r="G196" s="19"/>
      <c r="H196" s="29"/>
    </row>
    <row r="197" spans="1:8" ht="12.75" customHeight="1">
      <c r="A197" s="31">
        <v>42768</v>
      </c>
      <c r="B197" s="31"/>
      <c r="C197" s="20">
        <f>ROUND(1.6,5)</f>
        <v>1.6</v>
      </c>
      <c r="D197" s="20">
        <f>F197</f>
        <v>149.787</v>
      </c>
      <c r="E197" s="20">
        <f>F197</f>
        <v>149.787</v>
      </c>
      <c r="F197" s="20">
        <f>ROUND(149.787,5)</f>
        <v>149.787</v>
      </c>
      <c r="G197" s="19"/>
      <c r="H197" s="29"/>
    </row>
    <row r="198" spans="1:8" ht="12.75" customHeight="1">
      <c r="A198" s="31">
        <v>42859</v>
      </c>
      <c r="B198" s="31"/>
      <c r="C198" s="20">
        <f>ROUND(1.6,5)</f>
        <v>1.6</v>
      </c>
      <c r="D198" s="20">
        <f>F198</f>
        <v>153.03931</v>
      </c>
      <c r="E198" s="20">
        <f>F198</f>
        <v>153.03931</v>
      </c>
      <c r="F198" s="20">
        <f>ROUND(153.03931,5)</f>
        <v>153.03931</v>
      </c>
      <c r="G198" s="19"/>
      <c r="H198" s="29"/>
    </row>
    <row r="199" spans="1:8" ht="12.75" customHeight="1">
      <c r="A199" s="31">
        <v>42950</v>
      </c>
      <c r="B199" s="31"/>
      <c r="C199" s="20">
        <f>ROUND(1.6,5)</f>
        <v>1.6</v>
      </c>
      <c r="D199" s="20">
        <f>F199</f>
        <v>155.99505</v>
      </c>
      <c r="E199" s="20">
        <f>F199</f>
        <v>155.99505</v>
      </c>
      <c r="F199" s="20">
        <f>ROUND(155.99505,5)</f>
        <v>155.99505</v>
      </c>
      <c r="G199" s="19"/>
      <c r="H199" s="29"/>
    </row>
    <row r="200" spans="1:8" ht="12.75" customHeight="1">
      <c r="A200" s="31" t="s">
        <v>57</v>
      </c>
      <c r="B200" s="31"/>
      <c r="C200" s="18"/>
      <c r="D200" s="18"/>
      <c r="E200" s="18"/>
      <c r="F200" s="18"/>
      <c r="G200" s="19"/>
      <c r="H200" s="29"/>
    </row>
    <row r="201" spans="1:8" ht="12.75" customHeight="1">
      <c r="A201" s="31">
        <v>42586</v>
      </c>
      <c r="B201" s="31"/>
      <c r="C201" s="20">
        <f>ROUND(9.63,5)</f>
        <v>9.63</v>
      </c>
      <c r="D201" s="20">
        <f>F201</f>
        <v>9.68201</v>
      </c>
      <c r="E201" s="20">
        <f>F201</f>
        <v>9.68201</v>
      </c>
      <c r="F201" s="20">
        <f>ROUND(9.68201,5)</f>
        <v>9.68201</v>
      </c>
      <c r="G201" s="19"/>
      <c r="H201" s="29"/>
    </row>
    <row r="202" spans="1:8" ht="12.75" customHeight="1">
      <c r="A202" s="31">
        <v>42677</v>
      </c>
      <c r="B202" s="31"/>
      <c r="C202" s="20">
        <f>ROUND(9.63,5)</f>
        <v>9.63</v>
      </c>
      <c r="D202" s="20">
        <f>F202</f>
        <v>9.73763</v>
      </c>
      <c r="E202" s="20">
        <f>F202</f>
        <v>9.73763</v>
      </c>
      <c r="F202" s="20">
        <f>ROUND(9.73763,5)</f>
        <v>9.73763</v>
      </c>
      <c r="G202" s="19"/>
      <c r="H202" s="29"/>
    </row>
    <row r="203" spans="1:8" ht="12.75" customHeight="1">
      <c r="A203" s="31">
        <v>42768</v>
      </c>
      <c r="B203" s="31"/>
      <c r="C203" s="20">
        <f>ROUND(9.63,5)</f>
        <v>9.63</v>
      </c>
      <c r="D203" s="20">
        <f>F203</f>
        <v>9.7876</v>
      </c>
      <c r="E203" s="20">
        <f>F203</f>
        <v>9.7876</v>
      </c>
      <c r="F203" s="20">
        <f>ROUND(9.7876,5)</f>
        <v>9.7876</v>
      </c>
      <c r="G203" s="19"/>
      <c r="H203" s="29"/>
    </row>
    <row r="204" spans="1:8" ht="12.75" customHeight="1">
      <c r="A204" s="31">
        <v>42859</v>
      </c>
      <c r="B204" s="31"/>
      <c r="C204" s="20">
        <f>ROUND(9.63,5)</f>
        <v>9.63</v>
      </c>
      <c r="D204" s="20">
        <f>F204</f>
        <v>9.81677</v>
      </c>
      <c r="E204" s="20">
        <f>F204</f>
        <v>9.81677</v>
      </c>
      <c r="F204" s="20">
        <f>ROUND(9.81677,5)</f>
        <v>9.81677</v>
      </c>
      <c r="G204" s="19"/>
      <c r="H204" s="29"/>
    </row>
    <row r="205" spans="1:8" ht="12.75" customHeight="1">
      <c r="A205" s="31">
        <v>42950</v>
      </c>
      <c r="B205" s="31"/>
      <c r="C205" s="20">
        <f>ROUND(9.63,5)</f>
        <v>9.63</v>
      </c>
      <c r="D205" s="20">
        <f>F205</f>
        <v>9.87796</v>
      </c>
      <c r="E205" s="20">
        <f>F205</f>
        <v>9.87796</v>
      </c>
      <c r="F205" s="20">
        <f>ROUND(9.87796,5)</f>
        <v>9.87796</v>
      </c>
      <c r="G205" s="19"/>
      <c r="H205" s="29"/>
    </row>
    <row r="206" spans="1:8" ht="12.75" customHeight="1">
      <c r="A206" s="31" t="s">
        <v>58</v>
      </c>
      <c r="B206" s="31"/>
      <c r="C206" s="18"/>
      <c r="D206" s="18"/>
      <c r="E206" s="18"/>
      <c r="F206" s="18"/>
      <c r="G206" s="19"/>
      <c r="H206" s="29"/>
    </row>
    <row r="207" spans="1:8" ht="12.75" customHeight="1">
      <c r="A207" s="31">
        <v>42586</v>
      </c>
      <c r="B207" s="31"/>
      <c r="C207" s="20">
        <f>ROUND(9.855,5)</f>
        <v>9.855</v>
      </c>
      <c r="D207" s="20">
        <f>F207</f>
        <v>9.90401</v>
      </c>
      <c r="E207" s="20">
        <f>F207</f>
        <v>9.90401</v>
      </c>
      <c r="F207" s="20">
        <f>ROUND(9.90401,5)</f>
        <v>9.90401</v>
      </c>
      <c r="G207" s="19"/>
      <c r="H207" s="29"/>
    </row>
    <row r="208" spans="1:8" ht="12.75" customHeight="1">
      <c r="A208" s="31">
        <v>42677</v>
      </c>
      <c r="B208" s="31"/>
      <c r="C208" s="20">
        <f>ROUND(9.855,5)</f>
        <v>9.855</v>
      </c>
      <c r="D208" s="20">
        <f>F208</f>
        <v>9.95616</v>
      </c>
      <c r="E208" s="20">
        <f>F208</f>
        <v>9.95616</v>
      </c>
      <c r="F208" s="20">
        <f>ROUND(9.95616,5)</f>
        <v>9.95616</v>
      </c>
      <c r="G208" s="19"/>
      <c r="H208" s="29"/>
    </row>
    <row r="209" spans="1:8" ht="12.75" customHeight="1">
      <c r="A209" s="31">
        <v>42768</v>
      </c>
      <c r="B209" s="31"/>
      <c r="C209" s="20">
        <f>ROUND(9.855,5)</f>
        <v>9.855</v>
      </c>
      <c r="D209" s="20">
        <f>F209</f>
        <v>10.00349</v>
      </c>
      <c r="E209" s="20">
        <f>F209</f>
        <v>10.00349</v>
      </c>
      <c r="F209" s="20">
        <f>ROUND(10.00349,5)</f>
        <v>10.00349</v>
      </c>
      <c r="G209" s="19"/>
      <c r="H209" s="29"/>
    </row>
    <row r="210" spans="1:8" ht="12.75" customHeight="1">
      <c r="A210" s="31">
        <v>42859</v>
      </c>
      <c r="B210" s="31"/>
      <c r="C210" s="20">
        <f>ROUND(9.855,5)</f>
        <v>9.855</v>
      </c>
      <c r="D210" s="20">
        <f>F210</f>
        <v>10.03309</v>
      </c>
      <c r="E210" s="20">
        <f>F210</f>
        <v>10.03309</v>
      </c>
      <c r="F210" s="20">
        <f>ROUND(10.03309,5)</f>
        <v>10.03309</v>
      </c>
      <c r="G210" s="19"/>
      <c r="H210" s="29"/>
    </row>
    <row r="211" spans="1:8" ht="12.75" customHeight="1">
      <c r="A211" s="31">
        <v>42950</v>
      </c>
      <c r="B211" s="31"/>
      <c r="C211" s="20">
        <f>ROUND(9.855,5)</f>
        <v>9.855</v>
      </c>
      <c r="D211" s="20">
        <f>F211</f>
        <v>10.08918</v>
      </c>
      <c r="E211" s="20">
        <f>F211</f>
        <v>10.08918</v>
      </c>
      <c r="F211" s="20">
        <f>ROUND(10.08918,5)</f>
        <v>10.08918</v>
      </c>
      <c r="G211" s="19"/>
      <c r="H211" s="29"/>
    </row>
    <row r="212" spans="1:8" ht="12.75" customHeight="1">
      <c r="A212" s="31" t="s">
        <v>59</v>
      </c>
      <c r="B212" s="31"/>
      <c r="C212" s="18"/>
      <c r="D212" s="18"/>
      <c r="E212" s="18"/>
      <c r="F212" s="18"/>
      <c r="G212" s="19"/>
      <c r="H212" s="29"/>
    </row>
    <row r="213" spans="1:8" ht="12.75" customHeight="1">
      <c r="A213" s="31">
        <v>42586</v>
      </c>
      <c r="B213" s="31"/>
      <c r="C213" s="20">
        <f>ROUND(9.945,5)</f>
        <v>9.945</v>
      </c>
      <c r="D213" s="20">
        <f>F213</f>
        <v>9.99691</v>
      </c>
      <c r="E213" s="20">
        <f>F213</f>
        <v>9.99691</v>
      </c>
      <c r="F213" s="20">
        <f>ROUND(9.99691,5)</f>
        <v>9.99691</v>
      </c>
      <c r="G213" s="19"/>
      <c r="H213" s="29"/>
    </row>
    <row r="214" spans="1:8" ht="12.75" customHeight="1">
      <c r="A214" s="31">
        <v>42677</v>
      </c>
      <c r="B214" s="31"/>
      <c r="C214" s="20">
        <f>ROUND(9.945,5)</f>
        <v>9.945</v>
      </c>
      <c r="D214" s="20">
        <f>F214</f>
        <v>10.05222</v>
      </c>
      <c r="E214" s="20">
        <f>F214</f>
        <v>10.05222</v>
      </c>
      <c r="F214" s="20">
        <f>ROUND(10.05222,5)</f>
        <v>10.05222</v>
      </c>
      <c r="G214" s="19"/>
      <c r="H214" s="29"/>
    </row>
    <row r="215" spans="1:8" ht="12.75" customHeight="1">
      <c r="A215" s="31">
        <v>42768</v>
      </c>
      <c r="B215" s="31"/>
      <c r="C215" s="20">
        <f>ROUND(9.945,5)</f>
        <v>9.945</v>
      </c>
      <c r="D215" s="20">
        <f>F215</f>
        <v>10.10283</v>
      </c>
      <c r="E215" s="20">
        <f>F215</f>
        <v>10.10283</v>
      </c>
      <c r="F215" s="20">
        <f>ROUND(10.10283,5)</f>
        <v>10.10283</v>
      </c>
      <c r="G215" s="19"/>
      <c r="H215" s="29"/>
    </row>
    <row r="216" spans="1:8" ht="12.75" customHeight="1">
      <c r="A216" s="31">
        <v>42859</v>
      </c>
      <c r="B216" s="31"/>
      <c r="C216" s="20">
        <f>ROUND(9.945,5)</f>
        <v>9.945</v>
      </c>
      <c r="D216" s="20">
        <f>F216</f>
        <v>10.1354</v>
      </c>
      <c r="E216" s="20">
        <f>F216</f>
        <v>10.1354</v>
      </c>
      <c r="F216" s="20">
        <f>ROUND(10.1354,5)</f>
        <v>10.1354</v>
      </c>
      <c r="G216" s="19"/>
      <c r="H216" s="29"/>
    </row>
    <row r="217" spans="1:8" ht="12.75" customHeight="1">
      <c r="A217" s="31">
        <v>42950</v>
      </c>
      <c r="B217" s="31"/>
      <c r="C217" s="20">
        <f>ROUND(9.945,5)</f>
        <v>9.945</v>
      </c>
      <c r="D217" s="20">
        <f>F217</f>
        <v>10.19509</v>
      </c>
      <c r="E217" s="20">
        <f>F217</f>
        <v>10.19509</v>
      </c>
      <c r="F217" s="20">
        <f>ROUND(10.19509,5)</f>
        <v>10.19509</v>
      </c>
      <c r="G217" s="19"/>
      <c r="H217" s="29"/>
    </row>
    <row r="218" spans="1:8" ht="12.75" customHeight="1">
      <c r="A218" s="31" t="s">
        <v>60</v>
      </c>
      <c r="B218" s="31"/>
      <c r="C218" s="18"/>
      <c r="D218" s="18"/>
      <c r="E218" s="18"/>
      <c r="F218" s="18"/>
      <c r="G218" s="19"/>
      <c r="H218" s="29"/>
    </row>
    <row r="219" spans="1:8" ht="12.75" customHeight="1">
      <c r="A219" s="31">
        <v>42515</v>
      </c>
      <c r="B219" s="31"/>
      <c r="C219" s="21">
        <f>ROUND(17.28028231875,4)</f>
        <v>17.2803</v>
      </c>
      <c r="D219" s="21">
        <f>F219</f>
        <v>17.311</v>
      </c>
      <c r="E219" s="21">
        <f>F219</f>
        <v>17.311</v>
      </c>
      <c r="F219" s="21">
        <f>ROUND(17.311,4)</f>
        <v>17.311</v>
      </c>
      <c r="G219" s="19"/>
      <c r="H219" s="29"/>
    </row>
    <row r="220" spans="1:8" ht="12.75" customHeight="1">
      <c r="A220" s="31">
        <v>42517</v>
      </c>
      <c r="B220" s="31"/>
      <c r="C220" s="21">
        <f>ROUND(17.28028231875,4)</f>
        <v>17.2803</v>
      </c>
      <c r="D220" s="21">
        <f>F220</f>
        <v>17.3187</v>
      </c>
      <c r="E220" s="21">
        <f>F220</f>
        <v>17.3187</v>
      </c>
      <c r="F220" s="21">
        <f>ROUND(17.3187,4)</f>
        <v>17.3187</v>
      </c>
      <c r="G220" s="19"/>
      <c r="H220" s="29"/>
    </row>
    <row r="221" spans="1:8" ht="12.75" customHeight="1">
      <c r="A221" s="31">
        <v>42521</v>
      </c>
      <c r="B221" s="31"/>
      <c r="C221" s="21">
        <f>ROUND(17.28028231875,4)</f>
        <v>17.2803</v>
      </c>
      <c r="D221" s="21">
        <f>F221</f>
        <v>17.3341</v>
      </c>
      <c r="E221" s="21">
        <f>F221</f>
        <v>17.3341</v>
      </c>
      <c r="F221" s="21">
        <f>ROUND(17.3341,4)</f>
        <v>17.3341</v>
      </c>
      <c r="G221" s="19"/>
      <c r="H221" s="29"/>
    </row>
    <row r="222" spans="1:8" ht="12.75" customHeight="1">
      <c r="A222" s="31" t="s">
        <v>61</v>
      </c>
      <c r="B222" s="31"/>
      <c r="C222" s="18"/>
      <c r="D222" s="18"/>
      <c r="E222" s="18"/>
      <c r="F222" s="18"/>
      <c r="G222" s="19"/>
      <c r="H222" s="29"/>
    </row>
    <row r="223" spans="1:8" ht="12.75" customHeight="1">
      <c r="A223" s="31">
        <v>42521</v>
      </c>
      <c r="B223" s="31"/>
      <c r="C223" s="21">
        <f>ROUND(21.94349788125,4)</f>
        <v>21.9435</v>
      </c>
      <c r="D223" s="21">
        <f>F223</f>
        <v>22.0049</v>
      </c>
      <c r="E223" s="21">
        <f>F223</f>
        <v>22.0049</v>
      </c>
      <c r="F223" s="21">
        <f>ROUND(22.0049,4)</f>
        <v>22.0049</v>
      </c>
      <c r="G223" s="19"/>
      <c r="H223" s="29"/>
    </row>
    <row r="224" spans="1:8" ht="12.75" customHeight="1">
      <c r="A224" s="31">
        <v>42621</v>
      </c>
      <c r="B224" s="31"/>
      <c r="C224" s="21">
        <f>ROUND(21.94349788125,4)</f>
        <v>21.9435</v>
      </c>
      <c r="D224" s="21">
        <f>F224</f>
        <v>22.457</v>
      </c>
      <c r="E224" s="21">
        <f>F224</f>
        <v>22.457</v>
      </c>
      <c r="F224" s="21">
        <f>ROUND(22.457,4)</f>
        <v>22.457</v>
      </c>
      <c r="G224" s="19"/>
      <c r="H224" s="29"/>
    </row>
    <row r="225" spans="1:8" ht="12.75" customHeight="1">
      <c r="A225" s="31">
        <v>42850</v>
      </c>
      <c r="B225" s="31"/>
      <c r="C225" s="21">
        <f>ROUND(21.94349788125,4)</f>
        <v>21.9435</v>
      </c>
      <c r="D225" s="21">
        <f>F225</f>
        <v>23.5644</v>
      </c>
      <c r="E225" s="21">
        <f>F225</f>
        <v>23.5644</v>
      </c>
      <c r="F225" s="21">
        <f>ROUND(23.5644,4)</f>
        <v>23.5644</v>
      </c>
      <c r="G225" s="19"/>
      <c r="H225" s="29"/>
    </row>
    <row r="226" spans="1:8" ht="12.75" customHeight="1">
      <c r="A226" s="31" t="s">
        <v>62</v>
      </c>
      <c r="B226" s="31"/>
      <c r="C226" s="18"/>
      <c r="D226" s="18"/>
      <c r="E226" s="18"/>
      <c r="F226" s="18"/>
      <c r="G226" s="19"/>
      <c r="H226" s="29"/>
    </row>
    <row r="227" spans="1:8" ht="12.75" customHeight="1">
      <c r="A227" s="31">
        <v>42503</v>
      </c>
      <c r="B227" s="31"/>
      <c r="C227" s="21">
        <f aca="true" t="shared" si="0" ref="C227:C272">ROUND(15.2955,4)</f>
        <v>15.2955</v>
      </c>
      <c r="D227" s="21">
        <f aca="true" t="shared" si="1" ref="D227:D272">F227</f>
        <v>15.2053</v>
      </c>
      <c r="E227" s="21">
        <f aca="true" t="shared" si="2" ref="E227:E272">F227</f>
        <v>15.2053</v>
      </c>
      <c r="F227" s="21">
        <f>ROUND(15.2053,4)</f>
        <v>15.2053</v>
      </c>
      <c r="G227" s="19"/>
      <c r="H227" s="29"/>
    </row>
    <row r="228" spans="1:8" ht="12.75" customHeight="1">
      <c r="A228" s="31">
        <v>42506</v>
      </c>
      <c r="B228" s="31"/>
      <c r="C228" s="21">
        <f t="shared" si="0"/>
        <v>15.2955</v>
      </c>
      <c r="D228" s="21">
        <f t="shared" si="1"/>
        <v>15.2984</v>
      </c>
      <c r="E228" s="21">
        <f t="shared" si="2"/>
        <v>15.2984</v>
      </c>
      <c r="F228" s="21">
        <f>ROUND(15.2984,4)</f>
        <v>15.2984</v>
      </c>
      <c r="G228" s="19"/>
      <c r="H228" s="29"/>
    </row>
    <row r="229" spans="1:8" ht="12.75" customHeight="1">
      <c r="A229" s="31">
        <v>42507</v>
      </c>
      <c r="B229" s="31"/>
      <c r="C229" s="21">
        <f t="shared" si="0"/>
        <v>15.2955</v>
      </c>
      <c r="D229" s="21">
        <f t="shared" si="1"/>
        <v>15.2984</v>
      </c>
      <c r="E229" s="21">
        <f t="shared" si="2"/>
        <v>15.2984</v>
      </c>
      <c r="F229" s="21">
        <f>ROUND(15.2984,4)</f>
        <v>15.2984</v>
      </c>
      <c r="G229" s="19"/>
      <c r="H229" s="29"/>
    </row>
    <row r="230" spans="1:8" ht="12.75" customHeight="1">
      <c r="A230" s="31">
        <v>42508</v>
      </c>
      <c r="B230" s="31"/>
      <c r="C230" s="21">
        <f t="shared" si="0"/>
        <v>15.2955</v>
      </c>
      <c r="D230" s="21">
        <f t="shared" si="1"/>
        <v>15.2984</v>
      </c>
      <c r="E230" s="21">
        <f t="shared" si="2"/>
        <v>15.2984</v>
      </c>
      <c r="F230" s="21">
        <f>ROUND(15.2984,4)</f>
        <v>15.2984</v>
      </c>
      <c r="G230" s="19"/>
      <c r="H230" s="29"/>
    </row>
    <row r="231" spans="1:8" ht="12.75" customHeight="1">
      <c r="A231" s="31">
        <v>42509</v>
      </c>
      <c r="B231" s="31"/>
      <c r="C231" s="21">
        <f t="shared" si="0"/>
        <v>15.2955</v>
      </c>
      <c r="D231" s="21">
        <f t="shared" si="1"/>
        <v>15.3014</v>
      </c>
      <c r="E231" s="21">
        <f t="shared" si="2"/>
        <v>15.3014</v>
      </c>
      <c r="F231" s="21">
        <f>ROUND(15.3014,4)</f>
        <v>15.3014</v>
      </c>
      <c r="G231" s="19"/>
      <c r="H231" s="29"/>
    </row>
    <row r="232" spans="1:8" ht="12.75" customHeight="1">
      <c r="A232" s="31">
        <v>42510</v>
      </c>
      <c r="B232" s="31"/>
      <c r="C232" s="21">
        <f t="shared" si="0"/>
        <v>15.2955</v>
      </c>
      <c r="D232" s="21">
        <f t="shared" si="1"/>
        <v>15.3043</v>
      </c>
      <c r="E232" s="21">
        <f t="shared" si="2"/>
        <v>15.3043</v>
      </c>
      <c r="F232" s="21">
        <f>ROUND(15.3043,4)</f>
        <v>15.3043</v>
      </c>
      <c r="G232" s="19"/>
      <c r="H232" s="29"/>
    </row>
    <row r="233" spans="1:8" ht="12.75" customHeight="1">
      <c r="A233" s="31">
        <v>42513</v>
      </c>
      <c r="B233" s="31"/>
      <c r="C233" s="21">
        <f t="shared" si="0"/>
        <v>15.2955</v>
      </c>
      <c r="D233" s="21">
        <f t="shared" si="1"/>
        <v>15.3132</v>
      </c>
      <c r="E233" s="21">
        <f t="shared" si="2"/>
        <v>15.3132</v>
      </c>
      <c r="F233" s="21">
        <f>ROUND(15.3132,4)</f>
        <v>15.3132</v>
      </c>
      <c r="G233" s="19"/>
      <c r="H233" s="29"/>
    </row>
    <row r="234" spans="1:8" ht="12.75" customHeight="1">
      <c r="A234" s="31">
        <v>42514</v>
      </c>
      <c r="B234" s="31"/>
      <c r="C234" s="21">
        <f t="shared" si="0"/>
        <v>15.2955</v>
      </c>
      <c r="D234" s="21">
        <f t="shared" si="1"/>
        <v>15.3162</v>
      </c>
      <c r="E234" s="21">
        <f t="shared" si="2"/>
        <v>15.3162</v>
      </c>
      <c r="F234" s="21">
        <f>ROUND(15.3162,4)</f>
        <v>15.3162</v>
      </c>
      <c r="G234" s="19"/>
      <c r="H234" s="29"/>
    </row>
    <row r="235" spans="1:8" ht="12.75" customHeight="1">
      <c r="A235" s="31">
        <v>42515</v>
      </c>
      <c r="B235" s="31"/>
      <c r="C235" s="21">
        <f t="shared" si="0"/>
        <v>15.2955</v>
      </c>
      <c r="D235" s="21">
        <f t="shared" si="1"/>
        <v>15.3193</v>
      </c>
      <c r="E235" s="21">
        <f t="shared" si="2"/>
        <v>15.3193</v>
      </c>
      <c r="F235" s="21">
        <f>ROUND(15.3193,4)</f>
        <v>15.3193</v>
      </c>
      <c r="G235" s="19"/>
      <c r="H235" s="29"/>
    </row>
    <row r="236" spans="1:8" ht="12.75" customHeight="1">
      <c r="A236" s="31">
        <v>42517</v>
      </c>
      <c r="B236" s="31"/>
      <c r="C236" s="21">
        <f t="shared" si="0"/>
        <v>15.2955</v>
      </c>
      <c r="D236" s="21">
        <f t="shared" si="1"/>
        <v>15.3255</v>
      </c>
      <c r="E236" s="21">
        <f t="shared" si="2"/>
        <v>15.3255</v>
      </c>
      <c r="F236" s="21">
        <f>ROUND(15.3255,4)</f>
        <v>15.3255</v>
      </c>
      <c r="G236" s="19"/>
      <c r="H236" s="29"/>
    </row>
    <row r="237" spans="1:8" ht="12.75" customHeight="1">
      <c r="A237" s="31">
        <v>42520</v>
      </c>
      <c r="B237" s="31"/>
      <c r="C237" s="21">
        <f t="shared" si="0"/>
        <v>15.2955</v>
      </c>
      <c r="D237" s="21">
        <f t="shared" si="1"/>
        <v>15.3348</v>
      </c>
      <c r="E237" s="21">
        <f t="shared" si="2"/>
        <v>15.3348</v>
      </c>
      <c r="F237" s="21">
        <f>ROUND(15.3348,4)</f>
        <v>15.3348</v>
      </c>
      <c r="G237" s="19"/>
      <c r="H237" s="29"/>
    </row>
    <row r="238" spans="1:8" ht="12.75" customHeight="1">
      <c r="A238" s="31">
        <v>42521</v>
      </c>
      <c r="B238" s="31"/>
      <c r="C238" s="21">
        <f t="shared" si="0"/>
        <v>15.2955</v>
      </c>
      <c r="D238" s="21">
        <f t="shared" si="1"/>
        <v>15.3379</v>
      </c>
      <c r="E238" s="21">
        <f t="shared" si="2"/>
        <v>15.3379</v>
      </c>
      <c r="F238" s="21">
        <f>ROUND(15.3379,4)</f>
        <v>15.3379</v>
      </c>
      <c r="G238" s="19"/>
      <c r="H238" s="29"/>
    </row>
    <row r="239" spans="1:8" ht="12.75" customHeight="1">
      <c r="A239" s="31">
        <v>42522</v>
      </c>
      <c r="B239" s="31"/>
      <c r="C239" s="21">
        <f t="shared" si="0"/>
        <v>15.2955</v>
      </c>
      <c r="D239" s="21">
        <f t="shared" si="1"/>
        <v>15.3409</v>
      </c>
      <c r="E239" s="21">
        <f t="shared" si="2"/>
        <v>15.3409</v>
      </c>
      <c r="F239" s="21">
        <f>ROUND(15.3409,4)</f>
        <v>15.3409</v>
      </c>
      <c r="G239" s="19"/>
      <c r="H239" s="29"/>
    </row>
    <row r="240" spans="1:8" ht="12.75" customHeight="1">
      <c r="A240" s="31">
        <v>42527</v>
      </c>
      <c r="B240" s="31"/>
      <c r="C240" s="21">
        <f t="shared" si="0"/>
        <v>15.2955</v>
      </c>
      <c r="D240" s="21">
        <f t="shared" si="1"/>
        <v>15.3564</v>
      </c>
      <c r="E240" s="21">
        <f t="shared" si="2"/>
        <v>15.3564</v>
      </c>
      <c r="F240" s="21">
        <f>ROUND(15.3564,4)</f>
        <v>15.3564</v>
      </c>
      <c r="G240" s="19"/>
      <c r="H240" s="29"/>
    </row>
    <row r="241" spans="1:8" ht="12.75" customHeight="1">
      <c r="A241" s="31">
        <v>42528</v>
      </c>
      <c r="B241" s="31"/>
      <c r="C241" s="21">
        <f t="shared" si="0"/>
        <v>15.2955</v>
      </c>
      <c r="D241" s="21">
        <f t="shared" si="1"/>
        <v>15.3595</v>
      </c>
      <c r="E241" s="21">
        <f t="shared" si="2"/>
        <v>15.3595</v>
      </c>
      <c r="F241" s="21">
        <f>ROUND(15.3595,4)</f>
        <v>15.3595</v>
      </c>
      <c r="G241" s="19"/>
      <c r="H241" s="29"/>
    </row>
    <row r="242" spans="1:8" ht="12.75" customHeight="1">
      <c r="A242" s="31">
        <v>42529</v>
      </c>
      <c r="B242" s="31"/>
      <c r="C242" s="21">
        <f t="shared" si="0"/>
        <v>15.2955</v>
      </c>
      <c r="D242" s="21">
        <f t="shared" si="1"/>
        <v>15.3626</v>
      </c>
      <c r="E242" s="21">
        <f t="shared" si="2"/>
        <v>15.3626</v>
      </c>
      <c r="F242" s="21">
        <f>ROUND(15.3626,4)</f>
        <v>15.3626</v>
      </c>
      <c r="G242" s="19"/>
      <c r="H242" s="29"/>
    </row>
    <row r="243" spans="1:8" ht="12.75" customHeight="1">
      <c r="A243" s="31">
        <v>42530</v>
      </c>
      <c r="B243" s="31"/>
      <c r="C243" s="21">
        <f t="shared" si="0"/>
        <v>15.2955</v>
      </c>
      <c r="D243" s="21">
        <f t="shared" si="1"/>
        <v>15.3657</v>
      </c>
      <c r="E243" s="21">
        <f t="shared" si="2"/>
        <v>15.3657</v>
      </c>
      <c r="F243" s="21">
        <f>ROUND(15.3657,4)</f>
        <v>15.3657</v>
      </c>
      <c r="G243" s="19"/>
      <c r="H243" s="29"/>
    </row>
    <row r="244" spans="1:8" ht="12.75" customHeight="1">
      <c r="A244" s="31">
        <v>42535</v>
      </c>
      <c r="B244" s="31"/>
      <c r="C244" s="21">
        <f t="shared" si="0"/>
        <v>15.2955</v>
      </c>
      <c r="D244" s="21">
        <f t="shared" si="1"/>
        <v>15.3812</v>
      </c>
      <c r="E244" s="21">
        <f t="shared" si="2"/>
        <v>15.3812</v>
      </c>
      <c r="F244" s="21">
        <f>ROUND(15.3812,4)</f>
        <v>15.3812</v>
      </c>
      <c r="G244" s="19"/>
      <c r="H244" s="29"/>
    </row>
    <row r="245" spans="1:8" ht="12.75" customHeight="1">
      <c r="A245" s="31">
        <v>42536</v>
      </c>
      <c r="B245" s="31"/>
      <c r="C245" s="21">
        <f t="shared" si="0"/>
        <v>15.2955</v>
      </c>
      <c r="D245" s="21">
        <f t="shared" si="1"/>
        <v>15.3843</v>
      </c>
      <c r="E245" s="21">
        <f t="shared" si="2"/>
        <v>15.3843</v>
      </c>
      <c r="F245" s="21">
        <f>ROUND(15.3843,4)</f>
        <v>15.3843</v>
      </c>
      <c r="G245" s="19"/>
      <c r="H245" s="29"/>
    </row>
    <row r="246" spans="1:8" ht="12.75" customHeight="1">
      <c r="A246" s="31">
        <v>42542</v>
      </c>
      <c r="B246" s="31"/>
      <c r="C246" s="21">
        <f t="shared" si="0"/>
        <v>15.2955</v>
      </c>
      <c r="D246" s="21">
        <f t="shared" si="1"/>
        <v>15.4028</v>
      </c>
      <c r="E246" s="21">
        <f t="shared" si="2"/>
        <v>15.4028</v>
      </c>
      <c r="F246" s="21">
        <f>ROUND(15.4028,4)</f>
        <v>15.4028</v>
      </c>
      <c r="G246" s="19"/>
      <c r="H246" s="29"/>
    </row>
    <row r="247" spans="1:8" ht="12.75" customHeight="1">
      <c r="A247" s="31">
        <v>42545</v>
      </c>
      <c r="B247" s="31"/>
      <c r="C247" s="21">
        <f t="shared" si="0"/>
        <v>15.2955</v>
      </c>
      <c r="D247" s="21">
        <f t="shared" si="1"/>
        <v>15.412</v>
      </c>
      <c r="E247" s="21">
        <f t="shared" si="2"/>
        <v>15.412</v>
      </c>
      <c r="F247" s="21">
        <f>ROUND(15.412,4)</f>
        <v>15.412</v>
      </c>
      <c r="G247" s="19"/>
      <c r="H247" s="29"/>
    </row>
    <row r="248" spans="1:8" ht="12.75" customHeight="1">
      <c r="A248" s="31">
        <v>42549</v>
      </c>
      <c r="B248" s="31"/>
      <c r="C248" s="21">
        <f t="shared" si="0"/>
        <v>15.2955</v>
      </c>
      <c r="D248" s="21">
        <f t="shared" si="1"/>
        <v>15.4244</v>
      </c>
      <c r="E248" s="21">
        <f t="shared" si="2"/>
        <v>15.4244</v>
      </c>
      <c r="F248" s="21">
        <f>ROUND(15.4244,4)</f>
        <v>15.4244</v>
      </c>
      <c r="G248" s="19"/>
      <c r="H248" s="29"/>
    </row>
    <row r="249" spans="1:8" ht="12.75" customHeight="1">
      <c r="A249" s="31">
        <v>42550</v>
      </c>
      <c r="B249" s="31"/>
      <c r="C249" s="21">
        <f t="shared" si="0"/>
        <v>15.2955</v>
      </c>
      <c r="D249" s="21">
        <f t="shared" si="1"/>
        <v>15.4275</v>
      </c>
      <c r="E249" s="21">
        <f t="shared" si="2"/>
        <v>15.4275</v>
      </c>
      <c r="F249" s="21">
        <f>ROUND(15.4275,4)</f>
        <v>15.4275</v>
      </c>
      <c r="G249" s="19"/>
      <c r="H249" s="29"/>
    </row>
    <row r="250" spans="1:8" ht="12.75" customHeight="1">
      <c r="A250" s="31">
        <v>42551</v>
      </c>
      <c r="B250" s="31"/>
      <c r="C250" s="21">
        <f t="shared" si="0"/>
        <v>15.2955</v>
      </c>
      <c r="D250" s="21">
        <f t="shared" si="1"/>
        <v>15.4306</v>
      </c>
      <c r="E250" s="21">
        <f t="shared" si="2"/>
        <v>15.4306</v>
      </c>
      <c r="F250" s="21">
        <f>ROUND(15.4306,4)</f>
        <v>15.4306</v>
      </c>
      <c r="G250" s="19"/>
      <c r="H250" s="29"/>
    </row>
    <row r="251" spans="1:8" ht="12.75" customHeight="1">
      <c r="A251" s="31">
        <v>42556</v>
      </c>
      <c r="B251" s="31"/>
      <c r="C251" s="21">
        <f t="shared" si="0"/>
        <v>15.2955</v>
      </c>
      <c r="D251" s="21">
        <f t="shared" si="1"/>
        <v>15.446</v>
      </c>
      <c r="E251" s="21">
        <f t="shared" si="2"/>
        <v>15.446</v>
      </c>
      <c r="F251" s="21">
        <f>ROUND(15.446,4)</f>
        <v>15.446</v>
      </c>
      <c r="G251" s="19"/>
      <c r="H251" s="29"/>
    </row>
    <row r="252" spans="1:8" ht="12.75" customHeight="1">
      <c r="A252" s="31">
        <v>42563</v>
      </c>
      <c r="B252" s="31"/>
      <c r="C252" s="21">
        <f t="shared" si="0"/>
        <v>15.2955</v>
      </c>
      <c r="D252" s="21">
        <f t="shared" si="1"/>
        <v>15.4676</v>
      </c>
      <c r="E252" s="21">
        <f t="shared" si="2"/>
        <v>15.4676</v>
      </c>
      <c r="F252" s="21">
        <f>ROUND(15.4676,4)</f>
        <v>15.4676</v>
      </c>
      <c r="G252" s="19"/>
      <c r="H252" s="29"/>
    </row>
    <row r="253" spans="1:8" ht="12.75" customHeight="1">
      <c r="A253" s="31">
        <v>42566</v>
      </c>
      <c r="B253" s="31"/>
      <c r="C253" s="21">
        <f t="shared" si="0"/>
        <v>15.2955</v>
      </c>
      <c r="D253" s="21">
        <f t="shared" si="1"/>
        <v>15.4769</v>
      </c>
      <c r="E253" s="21">
        <f t="shared" si="2"/>
        <v>15.4769</v>
      </c>
      <c r="F253" s="21">
        <f>ROUND(15.4769,4)</f>
        <v>15.4769</v>
      </c>
      <c r="G253" s="19"/>
      <c r="H253" s="29"/>
    </row>
    <row r="254" spans="1:8" ht="12.75" customHeight="1">
      <c r="A254" s="31">
        <v>42577</v>
      </c>
      <c r="B254" s="31"/>
      <c r="C254" s="21">
        <f t="shared" si="0"/>
        <v>15.2955</v>
      </c>
      <c r="D254" s="21">
        <f t="shared" si="1"/>
        <v>15.5102</v>
      </c>
      <c r="E254" s="21">
        <f t="shared" si="2"/>
        <v>15.5102</v>
      </c>
      <c r="F254" s="21">
        <f>ROUND(15.5102,4)</f>
        <v>15.5102</v>
      </c>
      <c r="G254" s="19"/>
      <c r="H254" s="29"/>
    </row>
    <row r="255" spans="1:8" ht="12.75" customHeight="1">
      <c r="A255" s="31">
        <v>42578</v>
      </c>
      <c r="B255" s="31"/>
      <c r="C255" s="21">
        <f t="shared" si="0"/>
        <v>15.2955</v>
      </c>
      <c r="D255" s="21">
        <f t="shared" si="1"/>
        <v>15.5132</v>
      </c>
      <c r="E255" s="21">
        <f t="shared" si="2"/>
        <v>15.5132</v>
      </c>
      <c r="F255" s="21">
        <f>ROUND(15.5132,4)</f>
        <v>15.5132</v>
      </c>
      <c r="G255" s="19"/>
      <c r="H255" s="29"/>
    </row>
    <row r="256" spans="1:8" ht="12.75" customHeight="1">
      <c r="A256" s="31">
        <v>42579</v>
      </c>
      <c r="B256" s="31"/>
      <c r="C256" s="21">
        <f t="shared" si="0"/>
        <v>15.2955</v>
      </c>
      <c r="D256" s="21">
        <f t="shared" si="1"/>
        <v>15.5162</v>
      </c>
      <c r="E256" s="21">
        <f t="shared" si="2"/>
        <v>15.5162</v>
      </c>
      <c r="F256" s="21">
        <f>ROUND(15.5162,4)</f>
        <v>15.5162</v>
      </c>
      <c r="G256" s="19"/>
      <c r="H256" s="29"/>
    </row>
    <row r="257" spans="1:8" ht="12.75" customHeight="1">
      <c r="A257" s="31">
        <v>42587</v>
      </c>
      <c r="B257" s="31"/>
      <c r="C257" s="21">
        <f t="shared" si="0"/>
        <v>15.2955</v>
      </c>
      <c r="D257" s="21">
        <f t="shared" si="1"/>
        <v>15.5403</v>
      </c>
      <c r="E257" s="21">
        <f t="shared" si="2"/>
        <v>15.5403</v>
      </c>
      <c r="F257" s="21">
        <f>ROUND(15.5403,4)</f>
        <v>15.5403</v>
      </c>
      <c r="G257" s="19"/>
      <c r="H257" s="29"/>
    </row>
    <row r="258" spans="1:8" ht="12.75" customHeight="1">
      <c r="A258" s="31">
        <v>42593</v>
      </c>
      <c r="B258" s="31"/>
      <c r="C258" s="21">
        <f t="shared" si="0"/>
        <v>15.2955</v>
      </c>
      <c r="D258" s="21">
        <f t="shared" si="1"/>
        <v>15.5583</v>
      </c>
      <c r="E258" s="21">
        <f t="shared" si="2"/>
        <v>15.5583</v>
      </c>
      <c r="F258" s="21">
        <f>ROUND(15.5583,4)</f>
        <v>15.5583</v>
      </c>
      <c r="G258" s="19"/>
      <c r="H258" s="29"/>
    </row>
    <row r="259" spans="1:8" ht="12.75" customHeight="1">
      <c r="A259" s="31">
        <v>42597</v>
      </c>
      <c r="B259" s="31"/>
      <c r="C259" s="21">
        <f t="shared" si="0"/>
        <v>15.2955</v>
      </c>
      <c r="D259" s="21">
        <f t="shared" si="1"/>
        <v>15.5704</v>
      </c>
      <c r="E259" s="21">
        <f t="shared" si="2"/>
        <v>15.5704</v>
      </c>
      <c r="F259" s="21">
        <f>ROUND(15.5704,4)</f>
        <v>15.5704</v>
      </c>
      <c r="G259" s="19"/>
      <c r="H259" s="29"/>
    </row>
    <row r="260" spans="1:8" ht="12.75" customHeight="1">
      <c r="A260" s="31">
        <v>42599</v>
      </c>
      <c r="B260" s="31"/>
      <c r="C260" s="21">
        <f t="shared" si="0"/>
        <v>15.2955</v>
      </c>
      <c r="D260" s="21">
        <f t="shared" si="1"/>
        <v>15.5764</v>
      </c>
      <c r="E260" s="21">
        <f t="shared" si="2"/>
        <v>15.5764</v>
      </c>
      <c r="F260" s="21">
        <f>ROUND(15.5764,4)</f>
        <v>15.5764</v>
      </c>
      <c r="G260" s="19"/>
      <c r="H260" s="29"/>
    </row>
    <row r="261" spans="1:8" ht="12.75" customHeight="1">
      <c r="A261" s="31">
        <v>42608</v>
      </c>
      <c r="B261" s="31"/>
      <c r="C261" s="21">
        <f t="shared" si="0"/>
        <v>15.2955</v>
      </c>
      <c r="D261" s="21">
        <f t="shared" si="1"/>
        <v>15.605</v>
      </c>
      <c r="E261" s="21">
        <f t="shared" si="2"/>
        <v>15.605</v>
      </c>
      <c r="F261" s="21">
        <f>ROUND(15.605,4)</f>
        <v>15.605</v>
      </c>
      <c r="G261" s="19"/>
      <c r="H261" s="29"/>
    </row>
    <row r="262" spans="1:8" ht="12.75" customHeight="1">
      <c r="A262" s="31">
        <v>42611</v>
      </c>
      <c r="B262" s="31"/>
      <c r="C262" s="21">
        <f t="shared" si="0"/>
        <v>15.2955</v>
      </c>
      <c r="D262" s="21">
        <f t="shared" si="1"/>
        <v>15.6145</v>
      </c>
      <c r="E262" s="21">
        <f t="shared" si="2"/>
        <v>15.6145</v>
      </c>
      <c r="F262" s="21">
        <f>ROUND(15.6145,4)</f>
        <v>15.6145</v>
      </c>
      <c r="G262" s="19"/>
      <c r="H262" s="29"/>
    </row>
    <row r="263" spans="1:8" ht="12.75" customHeight="1">
      <c r="A263" s="31">
        <v>42619</v>
      </c>
      <c r="B263" s="31"/>
      <c r="C263" s="21">
        <f t="shared" si="0"/>
        <v>15.2955</v>
      </c>
      <c r="D263" s="21">
        <f t="shared" si="1"/>
        <v>15.64</v>
      </c>
      <c r="E263" s="21">
        <f t="shared" si="2"/>
        <v>15.64</v>
      </c>
      <c r="F263" s="21">
        <f>ROUND(15.64,4)</f>
        <v>15.64</v>
      </c>
      <c r="G263" s="19"/>
      <c r="H263" s="29"/>
    </row>
    <row r="264" spans="1:8" ht="12.75" customHeight="1">
      <c r="A264" s="31">
        <v>42621</v>
      </c>
      <c r="B264" s="31"/>
      <c r="C264" s="21">
        <f t="shared" si="0"/>
        <v>15.2955</v>
      </c>
      <c r="D264" s="21">
        <f t="shared" si="1"/>
        <v>15.6463</v>
      </c>
      <c r="E264" s="21">
        <f t="shared" si="2"/>
        <v>15.6463</v>
      </c>
      <c r="F264" s="21">
        <f>ROUND(15.6463,4)</f>
        <v>15.6463</v>
      </c>
      <c r="G264" s="19"/>
      <c r="H264" s="29"/>
    </row>
    <row r="265" spans="1:8" ht="12.75" customHeight="1">
      <c r="A265" s="31">
        <v>42622</v>
      </c>
      <c r="B265" s="31"/>
      <c r="C265" s="21">
        <f t="shared" si="0"/>
        <v>15.2955</v>
      </c>
      <c r="D265" s="21">
        <f t="shared" si="1"/>
        <v>15.6495</v>
      </c>
      <c r="E265" s="21">
        <f t="shared" si="2"/>
        <v>15.6495</v>
      </c>
      <c r="F265" s="21">
        <f>ROUND(15.6495,4)</f>
        <v>15.6495</v>
      </c>
      <c r="G265" s="19"/>
      <c r="H265" s="29"/>
    </row>
    <row r="266" spans="1:8" ht="12.75" customHeight="1">
      <c r="A266" s="31">
        <v>42626</v>
      </c>
      <c r="B266" s="31"/>
      <c r="C266" s="21">
        <f t="shared" si="0"/>
        <v>15.2955</v>
      </c>
      <c r="D266" s="21">
        <f t="shared" si="1"/>
        <v>15.6622</v>
      </c>
      <c r="E266" s="21">
        <f t="shared" si="2"/>
        <v>15.6622</v>
      </c>
      <c r="F266" s="21">
        <f>ROUND(15.6622,4)</f>
        <v>15.6622</v>
      </c>
      <c r="G266" s="19"/>
      <c r="H266" s="29"/>
    </row>
    <row r="267" spans="1:8" ht="12.75" customHeight="1">
      <c r="A267" s="31">
        <v>42628</v>
      </c>
      <c r="B267" s="31"/>
      <c r="C267" s="21">
        <f t="shared" si="0"/>
        <v>15.2955</v>
      </c>
      <c r="D267" s="21">
        <f t="shared" si="1"/>
        <v>15.6686</v>
      </c>
      <c r="E267" s="21">
        <f t="shared" si="2"/>
        <v>15.6686</v>
      </c>
      <c r="F267" s="21">
        <f>ROUND(15.6686,4)</f>
        <v>15.6686</v>
      </c>
      <c r="G267" s="19"/>
      <c r="H267" s="29"/>
    </row>
    <row r="268" spans="1:8" ht="12.75" customHeight="1">
      <c r="A268" s="31">
        <v>42641</v>
      </c>
      <c r="B268" s="31"/>
      <c r="C268" s="21">
        <f t="shared" si="0"/>
        <v>15.2955</v>
      </c>
      <c r="D268" s="21">
        <f t="shared" si="1"/>
        <v>15.7099</v>
      </c>
      <c r="E268" s="21">
        <f t="shared" si="2"/>
        <v>15.7099</v>
      </c>
      <c r="F268" s="21">
        <f>ROUND(15.7099,4)</f>
        <v>15.7099</v>
      </c>
      <c r="G268" s="19"/>
      <c r="H268" s="29"/>
    </row>
    <row r="269" spans="1:8" ht="12.75" customHeight="1">
      <c r="A269" s="31">
        <v>42669</v>
      </c>
      <c r="B269" s="31"/>
      <c r="C269" s="21">
        <f t="shared" si="0"/>
        <v>15.2955</v>
      </c>
      <c r="D269" s="21">
        <f t="shared" si="1"/>
        <v>15.7989</v>
      </c>
      <c r="E269" s="21">
        <f t="shared" si="2"/>
        <v>15.7989</v>
      </c>
      <c r="F269" s="21">
        <f>ROUND(15.7989,4)</f>
        <v>15.7989</v>
      </c>
      <c r="G269" s="19"/>
      <c r="H269" s="29"/>
    </row>
    <row r="270" spans="1:8" ht="12.75" customHeight="1">
      <c r="A270" s="31">
        <v>42681</v>
      </c>
      <c r="B270" s="31"/>
      <c r="C270" s="21">
        <f t="shared" si="0"/>
        <v>15.2955</v>
      </c>
      <c r="D270" s="21">
        <f t="shared" si="1"/>
        <v>15.8371</v>
      </c>
      <c r="E270" s="21">
        <f t="shared" si="2"/>
        <v>15.8371</v>
      </c>
      <c r="F270" s="21">
        <f>ROUND(15.8371,4)</f>
        <v>15.8371</v>
      </c>
      <c r="G270" s="19"/>
      <c r="H270" s="29"/>
    </row>
    <row r="271" spans="1:8" ht="12.75" customHeight="1">
      <c r="A271" s="31">
        <v>42702</v>
      </c>
      <c r="B271" s="31"/>
      <c r="C271" s="21">
        <f t="shared" si="0"/>
        <v>15.2955</v>
      </c>
      <c r="D271" s="21">
        <f t="shared" si="1"/>
        <v>15.9038</v>
      </c>
      <c r="E271" s="21">
        <f t="shared" si="2"/>
        <v>15.9038</v>
      </c>
      <c r="F271" s="21">
        <f>ROUND(15.9038,4)</f>
        <v>15.9038</v>
      </c>
      <c r="G271" s="19"/>
      <c r="H271" s="29"/>
    </row>
    <row r="272" spans="1:8" ht="12.75" customHeight="1">
      <c r="A272" s="31">
        <v>42718</v>
      </c>
      <c r="B272" s="31"/>
      <c r="C272" s="21">
        <f t="shared" si="0"/>
        <v>15.2955</v>
      </c>
      <c r="D272" s="21">
        <f t="shared" si="1"/>
        <v>15.9547</v>
      </c>
      <c r="E272" s="21">
        <f t="shared" si="2"/>
        <v>15.9547</v>
      </c>
      <c r="F272" s="21">
        <f>ROUND(15.9547,4)</f>
        <v>15.9547</v>
      </c>
      <c r="G272" s="19"/>
      <c r="H272" s="29"/>
    </row>
    <row r="273" spans="1:8" ht="12.75" customHeight="1">
      <c r="A273" s="31" t="s">
        <v>63</v>
      </c>
      <c r="B273" s="31"/>
      <c r="C273" s="18"/>
      <c r="D273" s="18"/>
      <c r="E273" s="18"/>
      <c r="F273" s="18"/>
      <c r="G273" s="19"/>
      <c r="H273" s="29"/>
    </row>
    <row r="274" spans="1:8" ht="12.75" customHeight="1">
      <c r="A274" s="31">
        <v>42534</v>
      </c>
      <c r="B274" s="31"/>
      <c r="C274" s="21">
        <f>ROUND(1.1297625,4)</f>
        <v>1.1298</v>
      </c>
      <c r="D274" s="21">
        <f>F274</f>
        <v>1.1304</v>
      </c>
      <c r="E274" s="21">
        <f>F274</f>
        <v>1.1304</v>
      </c>
      <c r="F274" s="21">
        <f>ROUND(1.1304,4)</f>
        <v>1.1304</v>
      </c>
      <c r="G274" s="19"/>
      <c r="H274" s="29"/>
    </row>
    <row r="275" spans="1:8" ht="12.75" customHeight="1">
      <c r="A275" s="31">
        <v>42632</v>
      </c>
      <c r="B275" s="31"/>
      <c r="C275" s="21">
        <f>ROUND(1.1297625,4)</f>
        <v>1.1298</v>
      </c>
      <c r="D275" s="21">
        <f>F275</f>
        <v>1.1342</v>
      </c>
      <c r="E275" s="21">
        <f>F275</f>
        <v>1.1342</v>
      </c>
      <c r="F275" s="21">
        <f>ROUND(1.1342,4)</f>
        <v>1.1342</v>
      </c>
      <c r="G275" s="19"/>
      <c r="H275" s="29"/>
    </row>
    <row r="276" spans="1:8" ht="12.75" customHeight="1">
      <c r="A276" s="31">
        <v>42723</v>
      </c>
      <c r="B276" s="31"/>
      <c r="C276" s="21">
        <f>ROUND(1.1297625,4)</f>
        <v>1.1298</v>
      </c>
      <c r="D276" s="21">
        <f>F276</f>
        <v>1.1379</v>
      </c>
      <c r="E276" s="21">
        <f>F276</f>
        <v>1.1379</v>
      </c>
      <c r="F276" s="21">
        <f>ROUND(1.1379,4)</f>
        <v>1.1379</v>
      </c>
      <c r="G276" s="19"/>
      <c r="H276" s="29"/>
    </row>
    <row r="277" spans="1:8" ht="12.75" customHeight="1">
      <c r="A277" s="31">
        <v>42807</v>
      </c>
      <c r="B277" s="31"/>
      <c r="C277" s="21">
        <f>ROUND(1.1297625,4)</f>
        <v>1.1298</v>
      </c>
      <c r="D277" s="21">
        <f>F277</f>
        <v>1.142</v>
      </c>
      <c r="E277" s="21">
        <f>F277</f>
        <v>1.142</v>
      </c>
      <c r="F277" s="21">
        <f>ROUND(1.142,4)</f>
        <v>1.142</v>
      </c>
      <c r="G277" s="19"/>
      <c r="H277" s="29"/>
    </row>
    <row r="278" spans="1:8" ht="12.75" customHeight="1">
      <c r="A278" s="31" t="s">
        <v>64</v>
      </c>
      <c r="B278" s="31"/>
      <c r="C278" s="18"/>
      <c r="D278" s="18"/>
      <c r="E278" s="18"/>
      <c r="F278" s="18"/>
      <c r="G278" s="19"/>
      <c r="H278" s="29"/>
    </row>
    <row r="279" spans="1:8" ht="12.75" customHeight="1">
      <c r="A279" s="31">
        <v>42534</v>
      </c>
      <c r="B279" s="31"/>
      <c r="C279" s="21">
        <f aca="true" t="shared" si="3" ref="C279:C285">ROUND(11.11390149375,4)</f>
        <v>11.1139</v>
      </c>
      <c r="D279" s="21">
        <f aca="true" t="shared" si="4" ref="D279:D285">F279</f>
        <v>11.1651</v>
      </c>
      <c r="E279" s="21">
        <f aca="true" t="shared" si="5" ref="E279:E285">F279</f>
        <v>11.1651</v>
      </c>
      <c r="F279" s="21">
        <f>ROUND(11.1651,4)</f>
        <v>11.1651</v>
      </c>
      <c r="G279" s="19"/>
      <c r="H279" s="29"/>
    </row>
    <row r="280" spans="1:8" ht="12.75" customHeight="1">
      <c r="A280" s="31">
        <v>42632</v>
      </c>
      <c r="B280" s="31"/>
      <c r="C280" s="21">
        <f t="shared" si="3"/>
        <v>11.1139</v>
      </c>
      <c r="D280" s="21">
        <f t="shared" si="4"/>
        <v>11.3416</v>
      </c>
      <c r="E280" s="21">
        <f t="shared" si="5"/>
        <v>11.3416</v>
      </c>
      <c r="F280" s="21">
        <f>ROUND(11.3416,4)</f>
        <v>11.3416</v>
      </c>
      <c r="G280" s="19"/>
      <c r="H280" s="29"/>
    </row>
    <row r="281" spans="1:8" ht="12.75" customHeight="1">
      <c r="A281" s="31">
        <v>42723</v>
      </c>
      <c r="B281" s="31"/>
      <c r="C281" s="21">
        <f t="shared" si="3"/>
        <v>11.1139</v>
      </c>
      <c r="D281" s="21">
        <f t="shared" si="4"/>
        <v>11.5182</v>
      </c>
      <c r="E281" s="21">
        <f t="shared" si="5"/>
        <v>11.5182</v>
      </c>
      <c r="F281" s="21">
        <f>ROUND(11.5182,4)</f>
        <v>11.5182</v>
      </c>
      <c r="G281" s="19"/>
      <c r="H281" s="29"/>
    </row>
    <row r="282" spans="1:8" ht="12.75" customHeight="1">
      <c r="A282" s="31">
        <v>42807</v>
      </c>
      <c r="B282" s="31"/>
      <c r="C282" s="21">
        <f t="shared" si="3"/>
        <v>11.1139</v>
      </c>
      <c r="D282" s="21">
        <f t="shared" si="4"/>
        <v>11.6851</v>
      </c>
      <c r="E282" s="21">
        <f t="shared" si="5"/>
        <v>11.6851</v>
      </c>
      <c r="F282" s="21">
        <f>ROUND(11.6851,4)</f>
        <v>11.6851</v>
      </c>
      <c r="G282" s="19"/>
      <c r="H282" s="29"/>
    </row>
    <row r="283" spans="1:8" ht="12.75" customHeight="1">
      <c r="A283" s="31">
        <v>42905</v>
      </c>
      <c r="B283" s="31"/>
      <c r="C283" s="21">
        <f t="shared" si="3"/>
        <v>11.1139</v>
      </c>
      <c r="D283" s="21">
        <f t="shared" si="4"/>
        <v>11.8641</v>
      </c>
      <c r="E283" s="21">
        <f t="shared" si="5"/>
        <v>11.8641</v>
      </c>
      <c r="F283" s="21">
        <f>ROUND(11.8641,4)</f>
        <v>11.8641</v>
      </c>
      <c r="G283" s="19"/>
      <c r="H283" s="29"/>
    </row>
    <row r="284" spans="1:8" ht="12.75" customHeight="1">
      <c r="A284" s="31">
        <v>42996</v>
      </c>
      <c r="B284" s="31"/>
      <c r="C284" s="21">
        <f t="shared" si="3"/>
        <v>11.1139</v>
      </c>
      <c r="D284" s="21">
        <f t="shared" si="4"/>
        <v>11.9887</v>
      </c>
      <c r="E284" s="21">
        <f t="shared" si="5"/>
        <v>11.9887</v>
      </c>
      <c r="F284" s="21">
        <f>ROUND(11.9887,4)</f>
        <v>11.9887</v>
      </c>
      <c r="G284" s="19"/>
      <c r="H284" s="29"/>
    </row>
    <row r="285" spans="1:8" ht="12.75" customHeight="1">
      <c r="A285" s="31">
        <v>43087</v>
      </c>
      <c r="B285" s="31"/>
      <c r="C285" s="21">
        <f t="shared" si="3"/>
        <v>11.1139</v>
      </c>
      <c r="D285" s="21">
        <f t="shared" si="4"/>
        <v>12.1135</v>
      </c>
      <c r="E285" s="21">
        <f t="shared" si="5"/>
        <v>12.1135</v>
      </c>
      <c r="F285" s="21">
        <f>ROUND(12.1135,4)</f>
        <v>12.1135</v>
      </c>
      <c r="G285" s="19"/>
      <c r="H285" s="29"/>
    </row>
    <row r="286" spans="1:8" ht="12.75" customHeight="1">
      <c r="A286" s="31" t="s">
        <v>65</v>
      </c>
      <c r="B286" s="31"/>
      <c r="C286" s="18"/>
      <c r="D286" s="18"/>
      <c r="E286" s="18"/>
      <c r="F286" s="18"/>
      <c r="G286" s="19"/>
      <c r="H286" s="29"/>
    </row>
    <row r="287" spans="1:8" ht="12.75" customHeight="1">
      <c r="A287" s="31">
        <v>42534</v>
      </c>
      <c r="B287" s="31"/>
      <c r="C287" s="21">
        <f>ROUND(4.16419373281424,4)</f>
        <v>4.1642</v>
      </c>
      <c r="D287" s="21">
        <f>F287</f>
        <v>4.6138</v>
      </c>
      <c r="E287" s="21">
        <f>F287</f>
        <v>4.6138</v>
      </c>
      <c r="F287" s="21">
        <f>ROUND(4.6138,4)</f>
        <v>4.6138</v>
      </c>
      <c r="G287" s="19"/>
      <c r="H287" s="29"/>
    </row>
    <row r="288" spans="1:8" ht="12.75" customHeight="1">
      <c r="A288" s="31">
        <v>42632</v>
      </c>
      <c r="B288" s="31"/>
      <c r="C288" s="21">
        <f>ROUND(4.16419373281424,4)</f>
        <v>4.1642</v>
      </c>
      <c r="D288" s="21">
        <f>F288</f>
        <v>4.6688</v>
      </c>
      <c r="E288" s="21">
        <f>F288</f>
        <v>4.6688</v>
      </c>
      <c r="F288" s="21">
        <f>ROUND(4.6688,4)</f>
        <v>4.6688</v>
      </c>
      <c r="G288" s="19"/>
      <c r="H288" s="29"/>
    </row>
    <row r="289" spans="1:8" ht="12.75" customHeight="1">
      <c r="A289" s="31">
        <v>42723</v>
      </c>
      <c r="B289" s="31"/>
      <c r="C289" s="21">
        <f>ROUND(4.16419373281424,4)</f>
        <v>4.1642</v>
      </c>
      <c r="D289" s="21">
        <f>F289</f>
        <v>4.752</v>
      </c>
      <c r="E289" s="21">
        <f>F289</f>
        <v>4.752</v>
      </c>
      <c r="F289" s="21">
        <f>ROUND(4.752,4)</f>
        <v>4.752</v>
      </c>
      <c r="G289" s="19"/>
      <c r="H289" s="29"/>
    </row>
    <row r="290" spans="1:8" ht="12.75" customHeight="1">
      <c r="A290" s="31" t="s">
        <v>66</v>
      </c>
      <c r="B290" s="31"/>
      <c r="C290" s="18"/>
      <c r="D290" s="18"/>
      <c r="E290" s="18"/>
      <c r="F290" s="18"/>
      <c r="G290" s="19"/>
      <c r="H290" s="29"/>
    </row>
    <row r="291" spans="1:8" ht="12.75" customHeight="1">
      <c r="A291" s="31">
        <v>42534</v>
      </c>
      <c r="B291" s="31"/>
      <c r="C291" s="21">
        <f>ROUND(1.39036095,4)</f>
        <v>1.3904</v>
      </c>
      <c r="D291" s="21">
        <f>F291</f>
        <v>1.3965</v>
      </c>
      <c r="E291" s="21">
        <f>F291</f>
        <v>1.3965</v>
      </c>
      <c r="F291" s="21">
        <f>ROUND(1.3965,4)</f>
        <v>1.3965</v>
      </c>
      <c r="G291" s="19"/>
      <c r="H291" s="29"/>
    </row>
    <row r="292" spans="1:8" ht="12.75" customHeight="1">
      <c r="A292" s="31">
        <v>42632</v>
      </c>
      <c r="B292" s="31"/>
      <c r="C292" s="21">
        <f>ROUND(1.39036095,4)</f>
        <v>1.3904</v>
      </c>
      <c r="D292" s="21">
        <f>F292</f>
        <v>1.4127</v>
      </c>
      <c r="E292" s="21">
        <f>F292</f>
        <v>1.4127</v>
      </c>
      <c r="F292" s="21">
        <f>ROUND(1.4127,4)</f>
        <v>1.4127</v>
      </c>
      <c r="G292" s="19"/>
      <c r="H292" s="29"/>
    </row>
    <row r="293" spans="1:8" ht="12.75" customHeight="1">
      <c r="A293" s="31">
        <v>42723</v>
      </c>
      <c r="B293" s="31"/>
      <c r="C293" s="21">
        <f>ROUND(1.39036095,4)</f>
        <v>1.3904</v>
      </c>
      <c r="D293" s="21">
        <f>F293</f>
        <v>1.4279</v>
      </c>
      <c r="E293" s="21">
        <f>F293</f>
        <v>1.4279</v>
      </c>
      <c r="F293" s="21">
        <f>ROUND(1.4279,4)</f>
        <v>1.4279</v>
      </c>
      <c r="G293" s="19"/>
      <c r="H293" s="29"/>
    </row>
    <row r="294" spans="1:8" ht="12.75" customHeight="1">
      <c r="A294" s="31">
        <v>42807</v>
      </c>
      <c r="B294" s="31"/>
      <c r="C294" s="21">
        <f>ROUND(1.39036095,4)</f>
        <v>1.3904</v>
      </c>
      <c r="D294" s="21">
        <f>F294</f>
        <v>1.439</v>
      </c>
      <c r="E294" s="21">
        <f>F294</f>
        <v>1.439</v>
      </c>
      <c r="F294" s="21">
        <f>ROUND(1.439,4)</f>
        <v>1.439</v>
      </c>
      <c r="G294" s="19"/>
      <c r="H294" s="29"/>
    </row>
    <row r="295" spans="1:8" ht="12.75" customHeight="1">
      <c r="A295" s="31" t="s">
        <v>67</v>
      </c>
      <c r="B295" s="31"/>
      <c r="C295" s="18"/>
      <c r="D295" s="18"/>
      <c r="E295" s="18"/>
      <c r="F295" s="18"/>
      <c r="G295" s="19"/>
      <c r="H295" s="29"/>
    </row>
    <row r="296" spans="1:8" ht="12.75" customHeight="1">
      <c r="A296" s="31">
        <v>42534</v>
      </c>
      <c r="B296" s="31"/>
      <c r="C296" s="21">
        <f>ROUND(11.8248936992656,4)</f>
        <v>11.8249</v>
      </c>
      <c r="D296" s="21">
        <f>F296</f>
        <v>11.8885</v>
      </c>
      <c r="E296" s="21">
        <f>F296</f>
        <v>11.8885</v>
      </c>
      <c r="F296" s="21">
        <f>ROUND(11.8885,4)</f>
        <v>11.8885</v>
      </c>
      <c r="G296" s="19"/>
      <c r="H296" s="29"/>
    </row>
    <row r="297" spans="1:8" ht="12.75" customHeight="1">
      <c r="A297" s="31">
        <v>42632</v>
      </c>
      <c r="B297" s="31"/>
      <c r="C297" s="21">
        <f>ROUND(11.8248936992656,4)</f>
        <v>11.8249</v>
      </c>
      <c r="D297" s="21">
        <f>F297</f>
        <v>12.1227</v>
      </c>
      <c r="E297" s="21">
        <f>F297</f>
        <v>12.1227</v>
      </c>
      <c r="F297" s="21">
        <f>ROUND(12.1227,4)</f>
        <v>12.1227</v>
      </c>
      <c r="G297" s="19"/>
      <c r="H297" s="29"/>
    </row>
    <row r="298" spans="1:8" ht="12.75" customHeight="1">
      <c r="A298" s="31">
        <v>42723</v>
      </c>
      <c r="B298" s="31"/>
      <c r="C298" s="21">
        <f>ROUND(11.8248936992656,4)</f>
        <v>11.8249</v>
      </c>
      <c r="D298" s="21">
        <f>F298</f>
        <v>12.3473</v>
      </c>
      <c r="E298" s="21">
        <f>F298</f>
        <v>12.3473</v>
      </c>
      <c r="F298" s="21">
        <f>ROUND(12.3473,4)</f>
        <v>12.3473</v>
      </c>
      <c r="G298" s="19"/>
      <c r="H298" s="29"/>
    </row>
    <row r="299" spans="1:8" ht="12.75" customHeight="1">
      <c r="A299" s="31">
        <v>42807</v>
      </c>
      <c r="B299" s="31"/>
      <c r="C299" s="21">
        <f>ROUND(11.8248936992656,4)</f>
        <v>11.8249</v>
      </c>
      <c r="D299" s="21">
        <f>F299</f>
        <v>12.5591</v>
      </c>
      <c r="E299" s="21">
        <f>F299</f>
        <v>12.5591</v>
      </c>
      <c r="F299" s="21">
        <f>ROUND(12.5591,4)</f>
        <v>12.5591</v>
      </c>
      <c r="G299" s="19"/>
      <c r="H299" s="29"/>
    </row>
    <row r="300" spans="1:8" ht="12.75" customHeight="1">
      <c r="A300" s="31" t="s">
        <v>68</v>
      </c>
      <c r="B300" s="31"/>
      <c r="C300" s="18"/>
      <c r="D300" s="18"/>
      <c r="E300" s="18"/>
      <c r="F300" s="18"/>
      <c r="G300" s="19"/>
      <c r="H300" s="29"/>
    </row>
    <row r="301" spans="1:8" ht="12.75" customHeight="1">
      <c r="A301" s="31">
        <v>42534</v>
      </c>
      <c r="B301" s="31"/>
      <c r="C301" s="21">
        <f>ROUND(2.34669087912591,4)</f>
        <v>2.3467</v>
      </c>
      <c r="D301" s="21">
        <f>F301</f>
        <v>2.3434</v>
      </c>
      <c r="E301" s="21">
        <f>F301</f>
        <v>2.3434</v>
      </c>
      <c r="F301" s="21">
        <f>ROUND(2.3434,4)</f>
        <v>2.3434</v>
      </c>
      <c r="G301" s="19"/>
      <c r="H301" s="29"/>
    </row>
    <row r="302" spans="1:8" ht="12.75" customHeight="1">
      <c r="A302" s="31">
        <v>42632</v>
      </c>
      <c r="B302" s="31"/>
      <c r="C302" s="21">
        <f>ROUND(2.34669087912591,4)</f>
        <v>2.3467</v>
      </c>
      <c r="D302" s="21">
        <f>F302</f>
        <v>2.3759</v>
      </c>
      <c r="E302" s="21">
        <f>F302</f>
        <v>2.3759</v>
      </c>
      <c r="F302" s="21">
        <f>ROUND(2.3759,4)</f>
        <v>2.3759</v>
      </c>
      <c r="G302" s="19"/>
      <c r="H302" s="29"/>
    </row>
    <row r="303" spans="1:8" ht="12.75" customHeight="1">
      <c r="A303" s="31">
        <v>42723</v>
      </c>
      <c r="B303" s="31"/>
      <c r="C303" s="21">
        <f>ROUND(2.34669087912591,4)</f>
        <v>2.3467</v>
      </c>
      <c r="D303" s="21">
        <f>F303</f>
        <v>2.4057</v>
      </c>
      <c r="E303" s="21">
        <f>F303</f>
        <v>2.4057</v>
      </c>
      <c r="F303" s="21">
        <f>ROUND(2.4057,4)</f>
        <v>2.4057</v>
      </c>
      <c r="G303" s="19"/>
      <c r="H303" s="29"/>
    </row>
    <row r="304" spans="1:8" ht="12.75" customHeight="1">
      <c r="A304" s="31">
        <v>42807</v>
      </c>
      <c r="B304" s="31"/>
      <c r="C304" s="21">
        <f>ROUND(2.34669087912591,4)</f>
        <v>2.3467</v>
      </c>
      <c r="D304" s="21">
        <f>F304</f>
        <v>2.4325</v>
      </c>
      <c r="E304" s="21">
        <f>F304</f>
        <v>2.4325</v>
      </c>
      <c r="F304" s="21">
        <f>ROUND(2.4325,4)</f>
        <v>2.4325</v>
      </c>
      <c r="G304" s="19"/>
      <c r="H304" s="29"/>
    </row>
    <row r="305" spans="1:8" ht="12.75" customHeight="1">
      <c r="A305" s="31" t="s">
        <v>69</v>
      </c>
      <c r="B305" s="31"/>
      <c r="C305" s="18"/>
      <c r="D305" s="18"/>
      <c r="E305" s="18"/>
      <c r="F305" s="18"/>
      <c r="G305" s="19"/>
      <c r="H305" s="29"/>
    </row>
    <row r="306" spans="1:8" ht="12.75" customHeight="1">
      <c r="A306" s="31">
        <v>42534</v>
      </c>
      <c r="B306" s="31"/>
      <c r="C306" s="21">
        <f>ROUND(2.32313183475091,4)</f>
        <v>2.3231</v>
      </c>
      <c r="D306" s="21">
        <f>F306</f>
        <v>2.3392</v>
      </c>
      <c r="E306" s="21">
        <f>F306</f>
        <v>2.3392</v>
      </c>
      <c r="F306" s="21">
        <f>ROUND(2.3392,4)</f>
        <v>2.3392</v>
      </c>
      <c r="G306" s="19"/>
      <c r="H306" s="29"/>
    </row>
    <row r="307" spans="1:8" ht="12.75" customHeight="1">
      <c r="A307" s="31">
        <v>42632</v>
      </c>
      <c r="B307" s="31"/>
      <c r="C307" s="21">
        <f>ROUND(2.32313183475091,4)</f>
        <v>2.3231</v>
      </c>
      <c r="D307" s="21">
        <f>F307</f>
        <v>2.3939</v>
      </c>
      <c r="E307" s="21">
        <f>F307</f>
        <v>2.3939</v>
      </c>
      <c r="F307" s="21">
        <f>ROUND(2.3939,4)</f>
        <v>2.3939</v>
      </c>
      <c r="G307" s="19"/>
      <c r="H307" s="29"/>
    </row>
    <row r="308" spans="1:8" ht="12.75" customHeight="1">
      <c r="A308" s="31">
        <v>42723</v>
      </c>
      <c r="B308" s="31"/>
      <c r="C308" s="21">
        <f>ROUND(2.32313183475091,4)</f>
        <v>2.3231</v>
      </c>
      <c r="D308" s="21">
        <f>F308</f>
        <v>2.4481</v>
      </c>
      <c r="E308" s="21">
        <f>F308</f>
        <v>2.4481</v>
      </c>
      <c r="F308" s="21">
        <f>ROUND(2.4481,4)</f>
        <v>2.4481</v>
      </c>
      <c r="G308" s="19"/>
      <c r="H308" s="29"/>
    </row>
    <row r="309" spans="1:8" ht="12.75" customHeight="1">
      <c r="A309" s="31" t="s">
        <v>70</v>
      </c>
      <c r="B309" s="31"/>
      <c r="C309" s="18"/>
      <c r="D309" s="18"/>
      <c r="E309" s="18"/>
      <c r="F309" s="18"/>
      <c r="G309" s="19"/>
      <c r="H309" s="29"/>
    </row>
    <row r="310" spans="1:8" ht="12.75" customHeight="1">
      <c r="A310" s="31">
        <v>42534</v>
      </c>
      <c r="B310" s="31"/>
      <c r="C310" s="21">
        <f aca="true" t="shared" si="6" ref="C310:C316">ROUND(17.28028231875,4)</f>
        <v>17.2803</v>
      </c>
      <c r="D310" s="21">
        <f aca="true" t="shared" si="7" ref="D310:D316">F310</f>
        <v>17.3839</v>
      </c>
      <c r="E310" s="21">
        <f aca="true" t="shared" si="8" ref="E310:E316">F310</f>
        <v>17.3839</v>
      </c>
      <c r="F310" s="21">
        <f>ROUND(17.3839,4)</f>
        <v>17.3839</v>
      </c>
      <c r="G310" s="19"/>
      <c r="H310" s="29"/>
    </row>
    <row r="311" spans="1:8" ht="12.75" customHeight="1">
      <c r="A311" s="31">
        <v>42632</v>
      </c>
      <c r="B311" s="31"/>
      <c r="C311" s="21">
        <f t="shared" si="6"/>
        <v>17.2803</v>
      </c>
      <c r="D311" s="21">
        <f t="shared" si="7"/>
        <v>17.7853</v>
      </c>
      <c r="E311" s="21">
        <f t="shared" si="8"/>
        <v>17.7853</v>
      </c>
      <c r="F311" s="21">
        <f>ROUND(17.7853,4)</f>
        <v>17.7853</v>
      </c>
      <c r="G311" s="19"/>
      <c r="H311" s="29"/>
    </row>
    <row r="312" spans="1:8" ht="12.75" customHeight="1">
      <c r="A312" s="31">
        <v>42723</v>
      </c>
      <c r="B312" s="31"/>
      <c r="C312" s="21">
        <f t="shared" si="6"/>
        <v>17.2803</v>
      </c>
      <c r="D312" s="21">
        <f t="shared" si="7"/>
        <v>18.1737</v>
      </c>
      <c r="E312" s="21">
        <f t="shared" si="8"/>
        <v>18.1737</v>
      </c>
      <c r="F312" s="21">
        <f>ROUND(18.1737,4)</f>
        <v>18.1737</v>
      </c>
      <c r="G312" s="19"/>
      <c r="H312" s="29"/>
    </row>
    <row r="313" spans="1:8" ht="12.75" customHeight="1">
      <c r="A313" s="31">
        <v>42807</v>
      </c>
      <c r="B313" s="31"/>
      <c r="C313" s="21">
        <f t="shared" si="6"/>
        <v>17.2803</v>
      </c>
      <c r="D313" s="21">
        <f t="shared" si="7"/>
        <v>18.5465</v>
      </c>
      <c r="E313" s="21">
        <f t="shared" si="8"/>
        <v>18.5465</v>
      </c>
      <c r="F313" s="21">
        <f>ROUND(18.5465,4)</f>
        <v>18.5465</v>
      </c>
      <c r="G313" s="19"/>
      <c r="H313" s="29"/>
    </row>
    <row r="314" spans="1:8" ht="12.75" customHeight="1">
      <c r="A314" s="31">
        <v>42905</v>
      </c>
      <c r="B314" s="31"/>
      <c r="C314" s="21">
        <f t="shared" si="6"/>
        <v>17.2803</v>
      </c>
      <c r="D314" s="21">
        <f t="shared" si="7"/>
        <v>18.9435</v>
      </c>
      <c r="E314" s="21">
        <f t="shared" si="8"/>
        <v>18.9435</v>
      </c>
      <c r="F314" s="21">
        <f>ROUND(18.9435,4)</f>
        <v>18.9435</v>
      </c>
      <c r="G314" s="19"/>
      <c r="H314" s="29"/>
    </row>
    <row r="315" spans="1:8" ht="12.75" customHeight="1">
      <c r="A315" s="31">
        <v>42996</v>
      </c>
      <c r="B315" s="31"/>
      <c r="C315" s="21">
        <f t="shared" si="6"/>
        <v>17.2803</v>
      </c>
      <c r="D315" s="21">
        <f t="shared" si="7"/>
        <v>19.2516</v>
      </c>
      <c r="E315" s="21">
        <f t="shared" si="8"/>
        <v>19.2516</v>
      </c>
      <c r="F315" s="21">
        <f>ROUND(19.2516,4)</f>
        <v>19.2516</v>
      </c>
      <c r="G315" s="19"/>
      <c r="H315" s="29"/>
    </row>
    <row r="316" spans="1:8" ht="12.75" customHeight="1">
      <c r="A316" s="31">
        <v>43087</v>
      </c>
      <c r="B316" s="31"/>
      <c r="C316" s="21">
        <f t="shared" si="6"/>
        <v>17.2803</v>
      </c>
      <c r="D316" s="21">
        <f t="shared" si="7"/>
        <v>19.6151</v>
      </c>
      <c r="E316" s="21">
        <f t="shared" si="8"/>
        <v>19.6151</v>
      </c>
      <c r="F316" s="21">
        <f>ROUND(19.6151,4)</f>
        <v>19.6151</v>
      </c>
      <c r="G316" s="19"/>
      <c r="H316" s="29"/>
    </row>
    <row r="317" spans="1:8" ht="12.75" customHeight="1">
      <c r="A317" s="31" t="s">
        <v>71</v>
      </c>
      <c r="B317" s="31"/>
      <c r="C317" s="18"/>
      <c r="D317" s="18"/>
      <c r="E317" s="18"/>
      <c r="F317" s="18"/>
      <c r="G317" s="19"/>
      <c r="H317" s="29"/>
    </row>
    <row r="318" spans="1:8" ht="12.75" customHeight="1">
      <c r="A318" s="31">
        <v>42534</v>
      </c>
      <c r="B318" s="31"/>
      <c r="C318" s="21">
        <f>ROUND(15.6740277706615,4)</f>
        <v>15.674</v>
      </c>
      <c r="D318" s="21">
        <f>F318</f>
        <v>15.7713</v>
      </c>
      <c r="E318" s="21">
        <f>F318</f>
        <v>15.7713</v>
      </c>
      <c r="F318" s="21">
        <f>ROUND(15.7713,4)</f>
        <v>15.7713</v>
      </c>
      <c r="G318" s="19"/>
      <c r="H318" s="29"/>
    </row>
    <row r="319" spans="1:8" ht="12.75" customHeight="1">
      <c r="A319" s="31">
        <v>42632</v>
      </c>
      <c r="B319" s="31"/>
      <c r="C319" s="21">
        <f>ROUND(15.6740277706615,4)</f>
        <v>15.674</v>
      </c>
      <c r="D319" s="21">
        <f>F319</f>
        <v>16.1585</v>
      </c>
      <c r="E319" s="21">
        <f>F319</f>
        <v>16.1585</v>
      </c>
      <c r="F319" s="21">
        <f>ROUND(16.1585,4)</f>
        <v>16.1585</v>
      </c>
      <c r="G319" s="19"/>
      <c r="H319" s="29"/>
    </row>
    <row r="320" spans="1:8" ht="12.75" customHeight="1">
      <c r="A320" s="31">
        <v>42723</v>
      </c>
      <c r="B320" s="31"/>
      <c r="C320" s="21">
        <f>ROUND(15.6740277706615,4)</f>
        <v>15.674</v>
      </c>
      <c r="D320" s="21">
        <f>F320</f>
        <v>16.5344</v>
      </c>
      <c r="E320" s="21">
        <f>F320</f>
        <v>16.5344</v>
      </c>
      <c r="F320" s="21">
        <f>ROUND(16.5344,4)</f>
        <v>16.5344</v>
      </c>
      <c r="G320" s="19"/>
      <c r="H320" s="29"/>
    </row>
    <row r="321" spans="1:8" ht="12.75" customHeight="1">
      <c r="A321" s="31">
        <v>42807</v>
      </c>
      <c r="B321" s="31"/>
      <c r="C321" s="21">
        <f>ROUND(15.6740277706615,4)</f>
        <v>15.674</v>
      </c>
      <c r="D321" s="21">
        <f>F321</f>
        <v>16.8984</v>
      </c>
      <c r="E321" s="21">
        <f>F321</f>
        <v>16.8984</v>
      </c>
      <c r="F321" s="21">
        <f>ROUND(16.8984,4)</f>
        <v>16.8984</v>
      </c>
      <c r="G321" s="19"/>
      <c r="H321" s="29"/>
    </row>
    <row r="322" spans="1:8" ht="12.75" customHeight="1">
      <c r="A322" s="31">
        <v>42905</v>
      </c>
      <c r="B322" s="31"/>
      <c r="C322" s="21">
        <f>ROUND(15.6740277706615,4)</f>
        <v>15.674</v>
      </c>
      <c r="D322" s="21">
        <f>F322</f>
        <v>17.28</v>
      </c>
      <c r="E322" s="21">
        <f>F322</f>
        <v>17.28</v>
      </c>
      <c r="F322" s="21">
        <f>ROUND(17.28,4)</f>
        <v>17.28</v>
      </c>
      <c r="G322" s="19"/>
      <c r="H322" s="29"/>
    </row>
    <row r="323" spans="1:8" ht="12.75" customHeight="1">
      <c r="A323" s="31" t="s">
        <v>72</v>
      </c>
      <c r="B323" s="31"/>
      <c r="C323" s="18"/>
      <c r="D323" s="18"/>
      <c r="E323" s="18"/>
      <c r="F323" s="18"/>
      <c r="G323" s="19"/>
      <c r="H323" s="29"/>
    </row>
    <row r="324" spans="1:8" ht="12.75" customHeight="1">
      <c r="A324" s="31">
        <v>42534</v>
      </c>
      <c r="B324" s="31"/>
      <c r="C324" s="21">
        <f aca="true" t="shared" si="9" ref="C324:C329">ROUND(21.94349788125,4)</f>
        <v>21.9435</v>
      </c>
      <c r="D324" s="21">
        <f aca="true" t="shared" si="10" ref="D324:D329">F324</f>
        <v>22.0631</v>
      </c>
      <c r="E324" s="21">
        <f aca="true" t="shared" si="11" ref="E324:E329">F324</f>
        <v>22.0631</v>
      </c>
      <c r="F324" s="21">
        <f>ROUND(22.0631,4)</f>
        <v>22.0631</v>
      </c>
      <c r="G324" s="19"/>
      <c r="H324" s="29"/>
    </row>
    <row r="325" spans="1:8" ht="12.75" customHeight="1">
      <c r="A325" s="31">
        <v>42632</v>
      </c>
      <c r="B325" s="31"/>
      <c r="C325" s="21">
        <f t="shared" si="9"/>
        <v>21.9435</v>
      </c>
      <c r="D325" s="21">
        <f t="shared" si="10"/>
        <v>22.5085</v>
      </c>
      <c r="E325" s="21">
        <f t="shared" si="11"/>
        <v>22.5085</v>
      </c>
      <c r="F325" s="21">
        <f>ROUND(22.5085,4)</f>
        <v>22.5085</v>
      </c>
      <c r="G325" s="19"/>
      <c r="H325" s="29"/>
    </row>
    <row r="326" spans="1:8" ht="12.75" customHeight="1">
      <c r="A326" s="31">
        <v>42723</v>
      </c>
      <c r="B326" s="31"/>
      <c r="C326" s="21">
        <f t="shared" si="9"/>
        <v>21.9435</v>
      </c>
      <c r="D326" s="21">
        <f t="shared" si="10"/>
        <v>22.9408</v>
      </c>
      <c r="E326" s="21">
        <f t="shared" si="11"/>
        <v>22.9408</v>
      </c>
      <c r="F326" s="21">
        <f>ROUND(22.9408,4)</f>
        <v>22.9408</v>
      </c>
      <c r="G326" s="19"/>
      <c r="H326" s="29"/>
    </row>
    <row r="327" spans="1:8" ht="12.75" customHeight="1">
      <c r="A327" s="31">
        <v>42807</v>
      </c>
      <c r="B327" s="31"/>
      <c r="C327" s="21">
        <f t="shared" si="9"/>
        <v>21.9435</v>
      </c>
      <c r="D327" s="21">
        <f t="shared" si="10"/>
        <v>23.3493</v>
      </c>
      <c r="E327" s="21">
        <f t="shared" si="11"/>
        <v>23.3493</v>
      </c>
      <c r="F327" s="21">
        <f>ROUND(23.3493,4)</f>
        <v>23.3493</v>
      </c>
      <c r="G327" s="19"/>
      <c r="H327" s="29"/>
    </row>
    <row r="328" spans="1:8" ht="12.75" customHeight="1">
      <c r="A328" s="31">
        <v>42905</v>
      </c>
      <c r="B328" s="31"/>
      <c r="C328" s="21">
        <f t="shared" si="9"/>
        <v>21.9435</v>
      </c>
      <c r="D328" s="21">
        <f t="shared" si="10"/>
        <v>23.7932</v>
      </c>
      <c r="E328" s="21">
        <f t="shared" si="11"/>
        <v>23.7932</v>
      </c>
      <c r="F328" s="21">
        <f>ROUND(23.7932,4)</f>
        <v>23.7932</v>
      </c>
      <c r="G328" s="19"/>
      <c r="H328" s="29"/>
    </row>
    <row r="329" spans="1:8" ht="12.75" customHeight="1">
      <c r="A329" s="31">
        <v>42996</v>
      </c>
      <c r="B329" s="31"/>
      <c r="C329" s="21">
        <f t="shared" si="9"/>
        <v>21.9435</v>
      </c>
      <c r="D329" s="21">
        <f t="shared" si="10"/>
        <v>24.1226</v>
      </c>
      <c r="E329" s="21">
        <f t="shared" si="11"/>
        <v>24.1226</v>
      </c>
      <c r="F329" s="21">
        <f>ROUND(24.1226,4)</f>
        <v>24.1226</v>
      </c>
      <c r="G329" s="19"/>
      <c r="H329" s="29"/>
    </row>
    <row r="330" spans="1:8" ht="12.75" customHeight="1">
      <c r="A330" s="31" t="s">
        <v>73</v>
      </c>
      <c r="B330" s="31"/>
      <c r="C330" s="18"/>
      <c r="D330" s="18"/>
      <c r="E330" s="18"/>
      <c r="F330" s="18"/>
      <c r="G330" s="19"/>
      <c r="H330" s="29"/>
    </row>
    <row r="331" spans="1:8" ht="12.75" customHeight="1">
      <c r="A331" s="31">
        <v>42534</v>
      </c>
      <c r="B331" s="31"/>
      <c r="C331" s="21">
        <f>ROUND(1.97006678301638,4)</f>
        <v>1.9701</v>
      </c>
      <c r="D331" s="21">
        <f>F331</f>
        <v>1.9811</v>
      </c>
      <c r="E331" s="21">
        <f>F331</f>
        <v>1.9811</v>
      </c>
      <c r="F331" s="21">
        <f>ROUND(1.9811,4)</f>
        <v>1.9811</v>
      </c>
      <c r="G331" s="19"/>
      <c r="H331" s="29"/>
    </row>
    <row r="332" spans="1:8" ht="12.75" customHeight="1">
      <c r="A332" s="31">
        <v>42632</v>
      </c>
      <c r="B332" s="31"/>
      <c r="C332" s="21">
        <f>ROUND(1.97006678301638,4)</f>
        <v>1.9701</v>
      </c>
      <c r="D332" s="21">
        <f>F332</f>
        <v>2.0213</v>
      </c>
      <c r="E332" s="21">
        <f>F332</f>
        <v>2.0213</v>
      </c>
      <c r="F332" s="21">
        <f>ROUND(2.0213,4)</f>
        <v>2.0213</v>
      </c>
      <c r="G332" s="19"/>
      <c r="H332" s="29"/>
    </row>
    <row r="333" spans="1:8" ht="12.75" customHeight="1">
      <c r="A333" s="31">
        <v>42723</v>
      </c>
      <c r="B333" s="31"/>
      <c r="C333" s="21">
        <f>ROUND(1.97006678301638,4)</f>
        <v>1.9701</v>
      </c>
      <c r="D333" s="21">
        <f>F333</f>
        <v>2.0584</v>
      </c>
      <c r="E333" s="21">
        <f>F333</f>
        <v>2.0584</v>
      </c>
      <c r="F333" s="21">
        <f>ROUND(2.0584,4)</f>
        <v>2.0584</v>
      </c>
      <c r="G333" s="19"/>
      <c r="H333" s="29"/>
    </row>
    <row r="334" spans="1:8" ht="12.75" customHeight="1">
      <c r="A334" s="31">
        <v>42807</v>
      </c>
      <c r="B334" s="31"/>
      <c r="C334" s="21">
        <f>ROUND(1.97006678301638,4)</f>
        <v>1.9701</v>
      </c>
      <c r="D334" s="21">
        <f>F334</f>
        <v>2.0917</v>
      </c>
      <c r="E334" s="21">
        <f>F334</f>
        <v>2.0917</v>
      </c>
      <c r="F334" s="21">
        <f>ROUND(2.0917,4)</f>
        <v>2.0917</v>
      </c>
      <c r="G334" s="19"/>
      <c r="H334" s="29"/>
    </row>
    <row r="335" spans="1:8" ht="12.75" customHeight="1">
      <c r="A335" s="31" t="s">
        <v>74</v>
      </c>
      <c r="B335" s="31"/>
      <c r="C335" s="18"/>
      <c r="D335" s="18"/>
      <c r="E335" s="18"/>
      <c r="F335" s="18"/>
      <c r="G335" s="19"/>
      <c r="H335" s="29"/>
    </row>
    <row r="336" spans="1:8" ht="12.75" customHeight="1">
      <c r="A336" s="31">
        <v>42534</v>
      </c>
      <c r="B336" s="31"/>
      <c r="C336" s="23">
        <f>ROUND(0.140176188239607,6)</f>
        <v>0.140176</v>
      </c>
      <c r="D336" s="23">
        <f>F336</f>
        <v>0.141002</v>
      </c>
      <c r="E336" s="23">
        <f>F336</f>
        <v>0.141002</v>
      </c>
      <c r="F336" s="23">
        <f>ROUND(0.141002,6)</f>
        <v>0.141002</v>
      </c>
      <c r="G336" s="19"/>
      <c r="H336" s="29"/>
    </row>
    <row r="337" spans="1:8" ht="12.75" customHeight="1">
      <c r="A337" s="31">
        <v>42632</v>
      </c>
      <c r="B337" s="31"/>
      <c r="C337" s="23">
        <f>ROUND(0.140176188239607,6)</f>
        <v>0.140176</v>
      </c>
      <c r="D337" s="23">
        <f>F337</f>
        <v>0.144258</v>
      </c>
      <c r="E337" s="23">
        <f>F337</f>
        <v>0.144258</v>
      </c>
      <c r="F337" s="23">
        <f>ROUND(0.144258,6)</f>
        <v>0.144258</v>
      </c>
      <c r="G337" s="19"/>
      <c r="H337" s="29"/>
    </row>
    <row r="338" spans="1:8" ht="12.75" customHeight="1">
      <c r="A338" s="31">
        <v>42723</v>
      </c>
      <c r="B338" s="31"/>
      <c r="C338" s="23">
        <f>ROUND(0.140176188239607,6)</f>
        <v>0.140176</v>
      </c>
      <c r="D338" s="23">
        <f>F338</f>
        <v>0.147462</v>
      </c>
      <c r="E338" s="23">
        <f>F338</f>
        <v>0.147462</v>
      </c>
      <c r="F338" s="23">
        <f>ROUND(0.147462,6)</f>
        <v>0.147462</v>
      </c>
      <c r="G338" s="19"/>
      <c r="H338" s="29"/>
    </row>
    <row r="339" spans="1:8" ht="12.75" customHeight="1">
      <c r="A339" s="31">
        <v>42807</v>
      </c>
      <c r="B339" s="31"/>
      <c r="C339" s="23">
        <f>ROUND(0.140176188239607,6)</f>
        <v>0.140176</v>
      </c>
      <c r="D339" s="23">
        <f>F339</f>
        <v>0.150575</v>
      </c>
      <c r="E339" s="23">
        <f>F339</f>
        <v>0.150575</v>
      </c>
      <c r="F339" s="23">
        <f>ROUND(0.150575,6)</f>
        <v>0.150575</v>
      </c>
      <c r="G339" s="19"/>
      <c r="H339" s="29"/>
    </row>
    <row r="340" spans="1:8" ht="12.75" customHeight="1">
      <c r="A340" s="31">
        <v>42905</v>
      </c>
      <c r="B340" s="31"/>
      <c r="C340" s="23">
        <f>ROUND(0.140176188239607,6)</f>
        <v>0.140176</v>
      </c>
      <c r="D340" s="23">
        <f>F340</f>
        <v>0.154021</v>
      </c>
      <c r="E340" s="23">
        <f>F340</f>
        <v>0.154021</v>
      </c>
      <c r="F340" s="23">
        <f>ROUND(0.154021,6)</f>
        <v>0.154021</v>
      </c>
      <c r="G340" s="19"/>
      <c r="H340" s="29"/>
    </row>
    <row r="341" spans="1:8" ht="12.75" customHeight="1">
      <c r="A341" s="31" t="s">
        <v>75</v>
      </c>
      <c r="B341" s="31"/>
      <c r="C341" s="18"/>
      <c r="D341" s="18"/>
      <c r="E341" s="18"/>
      <c r="F341" s="18"/>
      <c r="G341" s="19"/>
      <c r="H341" s="29"/>
    </row>
    <row r="342" spans="1:8" ht="12.75" customHeight="1">
      <c r="A342" s="31">
        <v>42534</v>
      </c>
      <c r="B342" s="31"/>
      <c r="C342" s="21">
        <f>ROUND(0.152042743538767,4)</f>
        <v>0.152</v>
      </c>
      <c r="D342" s="21">
        <f>F342</f>
        <v>0.152</v>
      </c>
      <c r="E342" s="21">
        <f>F342</f>
        <v>0.152</v>
      </c>
      <c r="F342" s="21">
        <f>ROUND(0.152,4)</f>
        <v>0.152</v>
      </c>
      <c r="G342" s="19"/>
      <c r="H342" s="29"/>
    </row>
    <row r="343" spans="1:8" ht="12.75" customHeight="1">
      <c r="A343" s="31">
        <v>42632</v>
      </c>
      <c r="B343" s="31"/>
      <c r="C343" s="21">
        <f>ROUND(0.152042743538767,4)</f>
        <v>0.152</v>
      </c>
      <c r="D343" s="21">
        <f>F343</f>
        <v>0.1517</v>
      </c>
      <c r="E343" s="21">
        <f>F343</f>
        <v>0.1517</v>
      </c>
      <c r="F343" s="21">
        <f>ROUND(0.1517,4)</f>
        <v>0.1517</v>
      </c>
      <c r="G343" s="19"/>
      <c r="H343" s="29"/>
    </row>
    <row r="344" spans="1:8" ht="12.75" customHeight="1">
      <c r="A344" s="31">
        <v>42723</v>
      </c>
      <c r="B344" s="31"/>
      <c r="C344" s="21">
        <f>ROUND(0.152042743538767,4)</f>
        <v>0.152</v>
      </c>
      <c r="D344" s="21">
        <f>F344</f>
        <v>0.1522</v>
      </c>
      <c r="E344" s="21">
        <f>F344</f>
        <v>0.1522</v>
      </c>
      <c r="F344" s="21">
        <f>ROUND(0.1522,4)</f>
        <v>0.1522</v>
      </c>
      <c r="G344" s="19"/>
      <c r="H344" s="29"/>
    </row>
    <row r="345" spans="1:8" ht="12.75" customHeight="1">
      <c r="A345" s="31">
        <v>42807</v>
      </c>
      <c r="B345" s="31"/>
      <c r="C345" s="21">
        <f>ROUND(0.152042743538767,4)</f>
        <v>0.152</v>
      </c>
      <c r="D345" s="21">
        <f>F345</f>
        <v>0.1532</v>
      </c>
      <c r="E345" s="21">
        <f>F345</f>
        <v>0.1532</v>
      </c>
      <c r="F345" s="21">
        <f>ROUND(0.1532,4)</f>
        <v>0.1532</v>
      </c>
      <c r="G345" s="19"/>
      <c r="H345" s="29"/>
    </row>
    <row r="346" spans="1:8" ht="12.75" customHeight="1">
      <c r="A346" s="31" t="s">
        <v>76</v>
      </c>
      <c r="B346" s="31"/>
      <c r="C346" s="18"/>
      <c r="D346" s="18"/>
      <c r="E346" s="18"/>
      <c r="F346" s="18"/>
      <c r="G346" s="19"/>
      <c r="H346" s="29"/>
    </row>
    <row r="347" spans="1:8" ht="12.75" customHeight="1">
      <c r="A347" s="31">
        <v>42534</v>
      </c>
      <c r="B347" s="31"/>
      <c r="C347" s="21">
        <f>ROUND(0.0768425018839488,4)</f>
        <v>0.0768</v>
      </c>
      <c r="D347" s="21">
        <f>F347</f>
        <v>0.0729</v>
      </c>
      <c r="E347" s="21">
        <f>F347</f>
        <v>0.0729</v>
      </c>
      <c r="F347" s="21">
        <f>ROUND(0.0729,4)</f>
        <v>0.0729</v>
      </c>
      <c r="G347" s="19"/>
      <c r="H347" s="29"/>
    </row>
    <row r="348" spans="1:8" ht="12.75" customHeight="1">
      <c r="A348" s="31">
        <v>42632</v>
      </c>
      <c r="B348" s="31"/>
      <c r="C348" s="21">
        <f>ROUND(0.0768425018839488,4)</f>
        <v>0.0768</v>
      </c>
      <c r="D348" s="21">
        <f>F348</f>
        <v>0.0649</v>
      </c>
      <c r="E348" s="21">
        <f>F348</f>
        <v>0.0649</v>
      </c>
      <c r="F348" s="21">
        <f>ROUND(0.0649,4)</f>
        <v>0.0649</v>
      </c>
      <c r="G348" s="19"/>
      <c r="H348" s="29"/>
    </row>
    <row r="349" spans="1:8" ht="12.75" customHeight="1">
      <c r="A349" s="31">
        <v>42723</v>
      </c>
      <c r="B349" s="31"/>
      <c r="C349" s="21">
        <f>ROUND(0.0768425018839488,4)</f>
        <v>0.0768</v>
      </c>
      <c r="D349" s="21">
        <f>F349</f>
        <v>0.0607</v>
      </c>
      <c r="E349" s="21">
        <f>F349</f>
        <v>0.0607</v>
      </c>
      <c r="F349" s="21">
        <f>ROUND(0.0607,4)</f>
        <v>0.0607</v>
      </c>
      <c r="G349" s="19"/>
      <c r="H349" s="29"/>
    </row>
    <row r="350" spans="1:8" ht="12.75" customHeight="1">
      <c r="A350" s="31">
        <v>42807</v>
      </c>
      <c r="B350" s="31"/>
      <c r="C350" s="21">
        <f>ROUND(0.0768425018839488,4)</f>
        <v>0.0768</v>
      </c>
      <c r="D350" s="21">
        <f>F350</f>
        <v>0.0577</v>
      </c>
      <c r="E350" s="21">
        <f>F350</f>
        <v>0.0577</v>
      </c>
      <c r="F350" s="21">
        <f>ROUND(0.0577,4)</f>
        <v>0.0577</v>
      </c>
      <c r="G350" s="19"/>
      <c r="H350" s="29"/>
    </row>
    <row r="351" spans="1:8" ht="12.75" customHeight="1">
      <c r="A351" s="31">
        <v>42905</v>
      </c>
      <c r="B351" s="31"/>
      <c r="C351" s="21">
        <f>ROUND(0.0768425018839488,4)</f>
        <v>0.0768</v>
      </c>
      <c r="D351" s="21">
        <f>F351</f>
        <v>0.0542</v>
      </c>
      <c r="E351" s="21">
        <f>F351</f>
        <v>0.0542</v>
      </c>
      <c r="F351" s="21">
        <f>ROUND(0.0542,4)</f>
        <v>0.0542</v>
      </c>
      <c r="G351" s="19"/>
      <c r="H351" s="29"/>
    </row>
    <row r="352" spans="1:8" ht="12.75" customHeight="1">
      <c r="A352" s="31" t="s">
        <v>77</v>
      </c>
      <c r="B352" s="31"/>
      <c r="C352" s="18"/>
      <c r="D352" s="18"/>
      <c r="E352" s="18"/>
      <c r="F352" s="18"/>
      <c r="G352" s="19"/>
      <c r="H352" s="29"/>
    </row>
    <row r="353" spans="1:8" ht="12.75" customHeight="1">
      <c r="A353" s="31">
        <v>42534</v>
      </c>
      <c r="B353" s="31"/>
      <c r="C353" s="21">
        <f>ROUND(10.358877375,4)</f>
        <v>10.3589</v>
      </c>
      <c r="D353" s="21">
        <f>F353</f>
        <v>10.4034</v>
      </c>
      <c r="E353" s="21">
        <f>F353</f>
        <v>10.4034</v>
      </c>
      <c r="F353" s="21">
        <f>ROUND(10.4034,4)</f>
        <v>10.4034</v>
      </c>
      <c r="G353" s="19"/>
      <c r="H353" s="29"/>
    </row>
    <row r="354" spans="1:8" ht="12.75" customHeight="1">
      <c r="A354" s="31">
        <v>42632</v>
      </c>
      <c r="B354" s="31"/>
      <c r="C354" s="21">
        <f>ROUND(10.358877375,4)</f>
        <v>10.3589</v>
      </c>
      <c r="D354" s="21">
        <f>F354</f>
        <v>10.5548</v>
      </c>
      <c r="E354" s="21">
        <f>F354</f>
        <v>10.5548</v>
      </c>
      <c r="F354" s="21">
        <f>ROUND(10.5548,4)</f>
        <v>10.5548</v>
      </c>
      <c r="G354" s="19"/>
      <c r="H354" s="29"/>
    </row>
    <row r="355" spans="1:8" ht="12.75" customHeight="1">
      <c r="A355" s="31">
        <v>42723</v>
      </c>
      <c r="B355" s="31"/>
      <c r="C355" s="21">
        <f>ROUND(10.358877375,4)</f>
        <v>10.3589</v>
      </c>
      <c r="D355" s="21">
        <f>F355</f>
        <v>10.7083</v>
      </c>
      <c r="E355" s="21">
        <f>F355</f>
        <v>10.7083</v>
      </c>
      <c r="F355" s="21">
        <f>ROUND(10.7083,4)</f>
        <v>10.7083</v>
      </c>
      <c r="G355" s="19"/>
      <c r="H355" s="29"/>
    </row>
    <row r="356" spans="1:8" ht="12.75" customHeight="1">
      <c r="A356" s="31">
        <v>42807</v>
      </c>
      <c r="B356" s="31"/>
      <c r="C356" s="21">
        <f>ROUND(10.358877375,4)</f>
        <v>10.3589</v>
      </c>
      <c r="D356" s="21">
        <f>F356</f>
        <v>10.8537</v>
      </c>
      <c r="E356" s="21">
        <f>F356</f>
        <v>10.8537</v>
      </c>
      <c r="F356" s="21">
        <f>ROUND(10.8537,4)</f>
        <v>10.8537</v>
      </c>
      <c r="G356" s="19"/>
      <c r="H356" s="29"/>
    </row>
    <row r="357" spans="1:8" ht="12.75" customHeight="1">
      <c r="A357" s="31" t="s">
        <v>78</v>
      </c>
      <c r="B357" s="31"/>
      <c r="C357" s="18"/>
      <c r="D357" s="18"/>
      <c r="E357" s="18"/>
      <c r="F357" s="18"/>
      <c r="G357" s="19"/>
      <c r="H357" s="29"/>
    </row>
    <row r="358" spans="1:8" ht="12.75" customHeight="1">
      <c r="A358" s="31">
        <v>42534</v>
      </c>
      <c r="B358" s="31"/>
      <c r="C358" s="21">
        <f>ROUND(11.1430444760136,4)</f>
        <v>11.143</v>
      </c>
      <c r="D358" s="21">
        <f>F358</f>
        <v>11.1994</v>
      </c>
      <c r="E358" s="21">
        <f>F358</f>
        <v>11.1994</v>
      </c>
      <c r="F358" s="21">
        <f>ROUND(11.1994,4)</f>
        <v>11.1994</v>
      </c>
      <c r="G358" s="19"/>
      <c r="H358" s="29"/>
    </row>
    <row r="359" spans="1:8" ht="12.75" customHeight="1">
      <c r="A359" s="31">
        <v>42632</v>
      </c>
      <c r="B359" s="31"/>
      <c r="C359" s="21">
        <f>ROUND(11.1430444760136,4)</f>
        <v>11.143</v>
      </c>
      <c r="D359" s="21">
        <f>F359</f>
        <v>11.4046</v>
      </c>
      <c r="E359" s="21">
        <f>F359</f>
        <v>11.4046</v>
      </c>
      <c r="F359" s="21">
        <f>ROUND(11.4046,4)</f>
        <v>11.4046</v>
      </c>
      <c r="G359" s="19"/>
      <c r="H359" s="29"/>
    </row>
    <row r="360" spans="1:8" ht="12.75" customHeight="1">
      <c r="A360" s="31">
        <v>42723</v>
      </c>
      <c r="B360" s="31"/>
      <c r="C360" s="21">
        <f>ROUND(11.1430444760136,4)</f>
        <v>11.143</v>
      </c>
      <c r="D360" s="21">
        <f>F360</f>
        <v>11.5962</v>
      </c>
      <c r="E360" s="21">
        <f>F360</f>
        <v>11.5962</v>
      </c>
      <c r="F360" s="21">
        <f>ROUND(11.5962,4)</f>
        <v>11.5962</v>
      </c>
      <c r="G360" s="19"/>
      <c r="H360" s="29"/>
    </row>
    <row r="361" spans="1:8" ht="12.75" customHeight="1">
      <c r="A361" s="31" t="s">
        <v>79</v>
      </c>
      <c r="B361" s="31"/>
      <c r="C361" s="18"/>
      <c r="D361" s="18"/>
      <c r="E361" s="18"/>
      <c r="F361" s="18"/>
      <c r="G361" s="19"/>
      <c r="H361" s="29"/>
    </row>
    <row r="362" spans="1:8" ht="12.75" customHeight="1">
      <c r="A362" s="31">
        <v>42534</v>
      </c>
      <c r="B362" s="31"/>
      <c r="C362" s="21">
        <f>ROUND(5.1517345907713,4)</f>
        <v>5.1517</v>
      </c>
      <c r="D362" s="21">
        <f>F362</f>
        <v>5.1429</v>
      </c>
      <c r="E362" s="21">
        <f>F362</f>
        <v>5.1429</v>
      </c>
      <c r="F362" s="21">
        <f>ROUND(5.1429,4)</f>
        <v>5.1429</v>
      </c>
      <c r="G362" s="19"/>
      <c r="H362" s="29"/>
    </row>
    <row r="363" spans="1:8" ht="12.75" customHeight="1">
      <c r="A363" s="31">
        <v>42632</v>
      </c>
      <c r="B363" s="31"/>
      <c r="C363" s="21">
        <f>ROUND(5.1517345907713,4)</f>
        <v>5.1517</v>
      </c>
      <c r="D363" s="21">
        <f>F363</f>
        <v>5.1168</v>
      </c>
      <c r="E363" s="21">
        <f>F363</f>
        <v>5.1168</v>
      </c>
      <c r="F363" s="21">
        <f>ROUND(5.1168,4)</f>
        <v>5.1168</v>
      </c>
      <c r="G363" s="19"/>
      <c r="H363" s="29"/>
    </row>
    <row r="364" spans="1:8" ht="12.75" customHeight="1">
      <c r="A364" s="31">
        <v>42723</v>
      </c>
      <c r="B364" s="31"/>
      <c r="C364" s="21">
        <f>ROUND(5.1517345907713,4)</f>
        <v>5.1517</v>
      </c>
      <c r="D364" s="21">
        <f>F364</f>
        <v>5.0963</v>
      </c>
      <c r="E364" s="21">
        <f>F364</f>
        <v>5.0963</v>
      </c>
      <c r="F364" s="21">
        <f>ROUND(5.0963,4)</f>
        <v>5.0963</v>
      </c>
      <c r="G364" s="19"/>
      <c r="H364" s="29"/>
    </row>
    <row r="365" spans="1:8" ht="12.75" customHeight="1">
      <c r="A365" s="31" t="s">
        <v>80</v>
      </c>
      <c r="B365" s="31"/>
      <c r="C365" s="18"/>
      <c r="D365" s="18"/>
      <c r="E365" s="18"/>
      <c r="F365" s="18"/>
      <c r="G365" s="19"/>
      <c r="H365" s="29"/>
    </row>
    <row r="366" spans="1:8" ht="12.75" customHeight="1">
      <c r="A366" s="31">
        <v>42534</v>
      </c>
      <c r="B366" s="31"/>
      <c r="C366" s="21">
        <f>ROUND(15.2955,4)</f>
        <v>15.2955</v>
      </c>
      <c r="D366" s="21">
        <f>F366</f>
        <v>15.3781</v>
      </c>
      <c r="E366" s="21">
        <f>F366</f>
        <v>15.3781</v>
      </c>
      <c r="F366" s="21">
        <f>ROUND(15.3781,4)</f>
        <v>15.3781</v>
      </c>
      <c r="G366" s="19"/>
      <c r="H366" s="29"/>
    </row>
    <row r="367" spans="1:8" ht="12.75" customHeight="1">
      <c r="A367" s="31">
        <v>42632</v>
      </c>
      <c r="B367" s="31"/>
      <c r="C367" s="21">
        <f>ROUND(15.2955,4)</f>
        <v>15.2955</v>
      </c>
      <c r="D367" s="21">
        <f>F367</f>
        <v>15.6813</v>
      </c>
      <c r="E367" s="21">
        <f>F367</f>
        <v>15.6813</v>
      </c>
      <c r="F367" s="21">
        <f>ROUND(15.6813,4)</f>
        <v>15.6813</v>
      </c>
      <c r="G367" s="19"/>
      <c r="H367" s="29"/>
    </row>
    <row r="368" spans="1:8" ht="12.75" customHeight="1">
      <c r="A368" s="31">
        <v>42723</v>
      </c>
      <c r="B368" s="31"/>
      <c r="C368" s="21">
        <f>ROUND(15.2955,4)</f>
        <v>15.2955</v>
      </c>
      <c r="D368" s="21">
        <f>F368</f>
        <v>15.9706</v>
      </c>
      <c r="E368" s="21">
        <f>F368</f>
        <v>15.9706</v>
      </c>
      <c r="F368" s="21">
        <f>ROUND(15.9706,4)</f>
        <v>15.9706</v>
      </c>
      <c r="G368" s="19"/>
      <c r="H368" s="29"/>
    </row>
    <row r="369" spans="1:8" ht="12.75" customHeight="1">
      <c r="A369" s="31">
        <v>42807</v>
      </c>
      <c r="B369" s="31"/>
      <c r="C369" s="21">
        <f>ROUND(15.2955,4)</f>
        <v>15.2955</v>
      </c>
      <c r="D369" s="21">
        <f>F369</f>
        <v>16.2398</v>
      </c>
      <c r="E369" s="21">
        <f>F369</f>
        <v>16.2398</v>
      </c>
      <c r="F369" s="21">
        <f>ROUND(16.2398,4)</f>
        <v>16.2398</v>
      </c>
      <c r="G369" s="19"/>
      <c r="H369" s="29"/>
    </row>
    <row r="370" spans="1:8" ht="12.75" customHeight="1">
      <c r="A370" s="31">
        <v>42905</v>
      </c>
      <c r="B370" s="31"/>
      <c r="C370" s="21">
        <f>ROUND(15.2955,4)</f>
        <v>15.2955</v>
      </c>
      <c r="D370" s="21">
        <f>F370</f>
        <v>16.5286</v>
      </c>
      <c r="E370" s="21">
        <f>F370</f>
        <v>16.5286</v>
      </c>
      <c r="F370" s="21">
        <f>ROUND(16.5286,4)</f>
        <v>16.5286</v>
      </c>
      <c r="G370" s="19"/>
      <c r="H370" s="29"/>
    </row>
    <row r="371" spans="1:8" ht="12.75" customHeight="1">
      <c r="A371" s="31" t="s">
        <v>81</v>
      </c>
      <c r="B371" s="31"/>
      <c r="C371" s="18"/>
      <c r="D371" s="18"/>
      <c r="E371" s="18"/>
      <c r="F371" s="18"/>
      <c r="G371" s="19"/>
      <c r="H371" s="29"/>
    </row>
    <row r="372" spans="1:8" ht="12.75" customHeight="1">
      <c r="A372" s="31">
        <v>42534</v>
      </c>
      <c r="B372" s="31"/>
      <c r="C372" s="21">
        <f aca="true" t="shared" si="12" ref="C372:C384">ROUND(15.2955,4)</f>
        <v>15.2955</v>
      </c>
      <c r="D372" s="21">
        <f aca="true" t="shared" si="13" ref="D372:D384">F372</f>
        <v>15.3781</v>
      </c>
      <c r="E372" s="21">
        <f aca="true" t="shared" si="14" ref="E372:E384">F372</f>
        <v>15.3781</v>
      </c>
      <c r="F372" s="21">
        <f>ROUND(15.3781,4)</f>
        <v>15.3781</v>
      </c>
      <c r="G372" s="19"/>
      <c r="H372" s="29"/>
    </row>
    <row r="373" spans="1:8" ht="12.75" customHeight="1">
      <c r="A373" s="31">
        <v>42632</v>
      </c>
      <c r="B373" s="31"/>
      <c r="C373" s="21">
        <f t="shared" si="12"/>
        <v>15.2955</v>
      </c>
      <c r="D373" s="21">
        <f t="shared" si="13"/>
        <v>15.6813</v>
      </c>
      <c r="E373" s="21">
        <f t="shared" si="14"/>
        <v>15.6813</v>
      </c>
      <c r="F373" s="21">
        <f>ROUND(15.6813,4)</f>
        <v>15.6813</v>
      </c>
      <c r="G373" s="19"/>
      <c r="H373" s="29"/>
    </row>
    <row r="374" spans="1:8" ht="12.75" customHeight="1">
      <c r="A374" s="31">
        <v>42723</v>
      </c>
      <c r="B374" s="31"/>
      <c r="C374" s="21">
        <f t="shared" si="12"/>
        <v>15.2955</v>
      </c>
      <c r="D374" s="21">
        <f t="shared" si="13"/>
        <v>15.9706</v>
      </c>
      <c r="E374" s="21">
        <f t="shared" si="14"/>
        <v>15.9706</v>
      </c>
      <c r="F374" s="21">
        <f>ROUND(15.9706,4)</f>
        <v>15.9706</v>
      </c>
      <c r="G374" s="19"/>
      <c r="H374" s="29"/>
    </row>
    <row r="375" spans="1:8" ht="12.75" customHeight="1">
      <c r="A375" s="31">
        <v>42807</v>
      </c>
      <c r="B375" s="31"/>
      <c r="C375" s="21">
        <f t="shared" si="12"/>
        <v>15.2955</v>
      </c>
      <c r="D375" s="21">
        <f t="shared" si="13"/>
        <v>16.2398</v>
      </c>
      <c r="E375" s="21">
        <f t="shared" si="14"/>
        <v>16.2398</v>
      </c>
      <c r="F375" s="21">
        <f>ROUND(16.2398,4)</f>
        <v>16.2398</v>
      </c>
      <c r="G375" s="19"/>
      <c r="H375" s="29"/>
    </row>
    <row r="376" spans="1:8" ht="12.75" customHeight="1">
      <c r="A376" s="31">
        <v>42905</v>
      </c>
      <c r="B376" s="31"/>
      <c r="C376" s="21">
        <f t="shared" si="12"/>
        <v>15.2955</v>
      </c>
      <c r="D376" s="21">
        <f t="shared" si="13"/>
        <v>16.5286</v>
      </c>
      <c r="E376" s="21">
        <f t="shared" si="14"/>
        <v>16.5286</v>
      </c>
      <c r="F376" s="21">
        <f>ROUND(16.5286,4)</f>
        <v>16.5286</v>
      </c>
      <c r="G376" s="19"/>
      <c r="H376" s="29"/>
    </row>
    <row r="377" spans="1:8" ht="12.75" customHeight="1">
      <c r="A377" s="31">
        <v>42996</v>
      </c>
      <c r="B377" s="31"/>
      <c r="C377" s="21">
        <f t="shared" si="12"/>
        <v>15.2955</v>
      </c>
      <c r="D377" s="21">
        <f t="shared" si="13"/>
        <v>16.7377</v>
      </c>
      <c r="E377" s="21">
        <f t="shared" si="14"/>
        <v>16.7377</v>
      </c>
      <c r="F377" s="21">
        <f>ROUND(16.7377,4)</f>
        <v>16.7377</v>
      </c>
      <c r="G377" s="19"/>
      <c r="H377" s="29"/>
    </row>
    <row r="378" spans="1:8" ht="12.75" customHeight="1">
      <c r="A378" s="31">
        <v>43087</v>
      </c>
      <c r="B378" s="31"/>
      <c r="C378" s="21">
        <f t="shared" si="12"/>
        <v>15.2955</v>
      </c>
      <c r="D378" s="21">
        <f t="shared" si="13"/>
        <v>16.9469</v>
      </c>
      <c r="E378" s="21">
        <f t="shared" si="14"/>
        <v>16.9469</v>
      </c>
      <c r="F378" s="21">
        <f>ROUND(16.9469,4)</f>
        <v>16.9469</v>
      </c>
      <c r="G378" s="19"/>
      <c r="H378" s="29"/>
    </row>
    <row r="379" spans="1:8" ht="12.75" customHeight="1">
      <c r="A379" s="31">
        <v>43175</v>
      </c>
      <c r="B379" s="31"/>
      <c r="C379" s="21">
        <f t="shared" si="12"/>
        <v>15.2955</v>
      </c>
      <c r="D379" s="21">
        <f t="shared" si="13"/>
        <v>17.1491</v>
      </c>
      <c r="E379" s="21">
        <f t="shared" si="14"/>
        <v>17.1491</v>
      </c>
      <c r="F379" s="21">
        <f>ROUND(17.1491,4)</f>
        <v>17.1491</v>
      </c>
      <c r="G379" s="19"/>
      <c r="H379" s="29"/>
    </row>
    <row r="380" spans="1:8" ht="12.75" customHeight="1">
      <c r="A380" s="31">
        <v>43269</v>
      </c>
      <c r="B380" s="31"/>
      <c r="C380" s="21">
        <f t="shared" si="12"/>
        <v>15.2955</v>
      </c>
      <c r="D380" s="21">
        <f t="shared" si="13"/>
        <v>17.4547</v>
      </c>
      <c r="E380" s="21">
        <f t="shared" si="14"/>
        <v>17.4547</v>
      </c>
      <c r="F380" s="21">
        <f>ROUND(17.4547,4)</f>
        <v>17.4547</v>
      </c>
      <c r="G380" s="19"/>
      <c r="H380" s="29"/>
    </row>
    <row r="381" spans="1:8" ht="12.75" customHeight="1">
      <c r="A381" s="31">
        <v>43360</v>
      </c>
      <c r="B381" s="31"/>
      <c r="C381" s="21">
        <f t="shared" si="12"/>
        <v>15.2955</v>
      </c>
      <c r="D381" s="21">
        <f t="shared" si="13"/>
        <v>17.9187</v>
      </c>
      <c r="E381" s="21">
        <f t="shared" si="14"/>
        <v>17.9187</v>
      </c>
      <c r="F381" s="21">
        <f>ROUND(17.9187,4)</f>
        <v>17.9187</v>
      </c>
      <c r="G381" s="19"/>
      <c r="H381" s="29"/>
    </row>
    <row r="382" spans="1:8" ht="12.75" customHeight="1">
      <c r="A382" s="31">
        <v>43448</v>
      </c>
      <c r="B382" s="31"/>
      <c r="C382" s="21">
        <f t="shared" si="12"/>
        <v>15.2955</v>
      </c>
      <c r="D382" s="21">
        <f t="shared" si="13"/>
        <v>18.3674</v>
      </c>
      <c r="E382" s="21">
        <f t="shared" si="14"/>
        <v>18.3674</v>
      </c>
      <c r="F382" s="21">
        <f>ROUND(18.3674,4)</f>
        <v>18.3674</v>
      </c>
      <c r="G382" s="19"/>
      <c r="H382" s="29"/>
    </row>
    <row r="383" spans="1:8" ht="12.75" customHeight="1">
      <c r="A383" s="31">
        <v>43542</v>
      </c>
      <c r="B383" s="31"/>
      <c r="C383" s="21">
        <f t="shared" si="12"/>
        <v>15.2955</v>
      </c>
      <c r="D383" s="21">
        <f t="shared" si="13"/>
        <v>18.8466</v>
      </c>
      <c r="E383" s="21">
        <f t="shared" si="14"/>
        <v>18.8466</v>
      </c>
      <c r="F383" s="21">
        <f>ROUND(18.8466,4)</f>
        <v>18.8466</v>
      </c>
      <c r="G383" s="19"/>
      <c r="H383" s="29"/>
    </row>
    <row r="384" spans="1:8" ht="12.75" customHeight="1">
      <c r="A384" s="31">
        <v>43630</v>
      </c>
      <c r="B384" s="31"/>
      <c r="C384" s="21">
        <f t="shared" si="12"/>
        <v>15.2955</v>
      </c>
      <c r="D384" s="21">
        <f t="shared" si="13"/>
        <v>19.2953</v>
      </c>
      <c r="E384" s="21">
        <f t="shared" si="14"/>
        <v>19.2953</v>
      </c>
      <c r="F384" s="21">
        <f>ROUND(19.2953,4)</f>
        <v>19.2953</v>
      </c>
      <c r="G384" s="19"/>
      <c r="H384" s="29"/>
    </row>
    <row r="385" spans="1:8" ht="12.75" customHeight="1">
      <c r="A385" s="31" t="s">
        <v>82</v>
      </c>
      <c r="B385" s="31"/>
      <c r="C385" s="18"/>
      <c r="D385" s="18"/>
      <c r="E385" s="18"/>
      <c r="F385" s="18"/>
      <c r="G385" s="19"/>
      <c r="H385" s="29"/>
    </row>
    <row r="386" spans="1:8" ht="12.75" customHeight="1">
      <c r="A386" s="31">
        <v>42534</v>
      </c>
      <c r="B386" s="31"/>
      <c r="C386" s="21">
        <f>ROUND(1.52939706029397,4)</f>
        <v>1.5294</v>
      </c>
      <c r="D386" s="21">
        <f>F386</f>
        <v>1.5081</v>
      </c>
      <c r="E386" s="21">
        <f>F386</f>
        <v>1.5081</v>
      </c>
      <c r="F386" s="21">
        <f>ROUND(1.5081,4)</f>
        <v>1.5081</v>
      </c>
      <c r="G386" s="19"/>
      <c r="H386" s="29"/>
    </row>
    <row r="387" spans="1:8" ht="12.75" customHeight="1">
      <c r="A387" s="31">
        <v>42632</v>
      </c>
      <c r="B387" s="31"/>
      <c r="C387" s="21">
        <f>ROUND(1.52939706029397,4)</f>
        <v>1.5294</v>
      </c>
      <c r="D387" s="21">
        <f>F387</f>
        <v>1.4355</v>
      </c>
      <c r="E387" s="21">
        <f>F387</f>
        <v>1.4355</v>
      </c>
      <c r="F387" s="21">
        <f>ROUND(1.4355,4)</f>
        <v>1.4355</v>
      </c>
      <c r="G387" s="19"/>
      <c r="H387" s="29"/>
    </row>
    <row r="388" spans="1:8" ht="12.75" customHeight="1">
      <c r="A388" s="31">
        <v>42723</v>
      </c>
      <c r="B388" s="31"/>
      <c r="C388" s="21">
        <f>ROUND(1.52939706029397,4)</f>
        <v>1.5294</v>
      </c>
      <c r="D388" s="21">
        <f>F388</f>
        <v>1.3777</v>
      </c>
      <c r="E388" s="21">
        <f>F388</f>
        <v>1.3777</v>
      </c>
      <c r="F388" s="21">
        <f>ROUND(1.3777,4)</f>
        <v>1.3777</v>
      </c>
      <c r="G388" s="19"/>
      <c r="H388" s="29"/>
    </row>
    <row r="389" spans="1:8" ht="12.75" customHeight="1">
      <c r="A389" s="31">
        <v>42807</v>
      </c>
      <c r="B389" s="31"/>
      <c r="C389" s="21">
        <f>ROUND(1.52939706029397,4)</f>
        <v>1.5294</v>
      </c>
      <c r="D389" s="21">
        <f>F389</f>
        <v>1.3367</v>
      </c>
      <c r="E389" s="21">
        <f>F389</f>
        <v>1.3367</v>
      </c>
      <c r="F389" s="21">
        <f>ROUND(1.3367,4)</f>
        <v>1.3367</v>
      </c>
      <c r="G389" s="19"/>
      <c r="H389" s="29"/>
    </row>
    <row r="390" spans="1:8" ht="12.75" customHeight="1">
      <c r="A390" s="31" t="s">
        <v>83</v>
      </c>
      <c r="B390" s="31"/>
      <c r="C390" s="18"/>
      <c r="D390" s="18"/>
      <c r="E390" s="18"/>
      <c r="F390" s="18"/>
      <c r="G390" s="19"/>
      <c r="H390" s="29"/>
    </row>
    <row r="391" spans="1:8" ht="12.75" customHeight="1">
      <c r="A391" s="31">
        <v>42586</v>
      </c>
      <c r="B391" s="31"/>
      <c r="C391" s="22">
        <f>ROUND(537.009,3)</f>
        <v>537.009</v>
      </c>
      <c r="D391" s="22">
        <f>F391</f>
        <v>546.221</v>
      </c>
      <c r="E391" s="22">
        <f>F391</f>
        <v>546.221</v>
      </c>
      <c r="F391" s="22">
        <f>ROUND(546.221,3)</f>
        <v>546.221</v>
      </c>
      <c r="G391" s="19"/>
      <c r="H391" s="29"/>
    </row>
    <row r="392" spans="1:8" ht="12.75" customHeight="1">
      <c r="A392" s="31">
        <v>42677</v>
      </c>
      <c r="B392" s="31"/>
      <c r="C392" s="22">
        <f>ROUND(537.009,3)</f>
        <v>537.009</v>
      </c>
      <c r="D392" s="22">
        <f>F392</f>
        <v>556.781</v>
      </c>
      <c r="E392" s="22">
        <f>F392</f>
        <v>556.781</v>
      </c>
      <c r="F392" s="22">
        <f>ROUND(556.781,3)</f>
        <v>556.781</v>
      </c>
      <c r="G392" s="19"/>
      <c r="H392" s="29"/>
    </row>
    <row r="393" spans="1:8" ht="12.75" customHeight="1">
      <c r="A393" s="31">
        <v>42768</v>
      </c>
      <c r="B393" s="31"/>
      <c r="C393" s="22">
        <f>ROUND(537.009,3)</f>
        <v>537.009</v>
      </c>
      <c r="D393" s="22">
        <f>F393</f>
        <v>568.024</v>
      </c>
      <c r="E393" s="22">
        <f>F393</f>
        <v>568.024</v>
      </c>
      <c r="F393" s="22">
        <f>ROUND(568.024,3)</f>
        <v>568.024</v>
      </c>
      <c r="G393" s="19"/>
      <c r="H393" s="29"/>
    </row>
    <row r="394" spans="1:8" ht="12.75" customHeight="1">
      <c r="A394" s="31">
        <v>42859</v>
      </c>
      <c r="B394" s="31"/>
      <c r="C394" s="22">
        <f>ROUND(537.009,3)</f>
        <v>537.009</v>
      </c>
      <c r="D394" s="22">
        <f>F394</f>
        <v>580.306</v>
      </c>
      <c r="E394" s="22">
        <f>F394</f>
        <v>580.306</v>
      </c>
      <c r="F394" s="22">
        <f>ROUND(580.306,3)</f>
        <v>580.306</v>
      </c>
      <c r="G394" s="19"/>
      <c r="H394" s="29"/>
    </row>
    <row r="395" spans="1:8" ht="12.75" customHeight="1">
      <c r="A395" s="31" t="s">
        <v>84</v>
      </c>
      <c r="B395" s="31"/>
      <c r="C395" s="18"/>
      <c r="D395" s="18"/>
      <c r="E395" s="18"/>
      <c r="F395" s="18"/>
      <c r="G395" s="19"/>
      <c r="H395" s="29"/>
    </row>
    <row r="396" spans="1:8" ht="12.75" customHeight="1">
      <c r="A396" s="31">
        <v>42586</v>
      </c>
      <c r="B396" s="31"/>
      <c r="C396" s="22">
        <f>ROUND(475.391,3)</f>
        <v>475.391</v>
      </c>
      <c r="D396" s="22">
        <f>F396</f>
        <v>483.546</v>
      </c>
      <c r="E396" s="22">
        <f>F396</f>
        <v>483.546</v>
      </c>
      <c r="F396" s="22">
        <f>ROUND(483.546,3)</f>
        <v>483.546</v>
      </c>
      <c r="G396" s="19"/>
      <c r="H396" s="29"/>
    </row>
    <row r="397" spans="1:8" ht="12.75" customHeight="1">
      <c r="A397" s="31">
        <v>42677</v>
      </c>
      <c r="B397" s="31"/>
      <c r="C397" s="22">
        <f>ROUND(475.391,3)</f>
        <v>475.391</v>
      </c>
      <c r="D397" s="22">
        <f>F397</f>
        <v>492.894</v>
      </c>
      <c r="E397" s="22">
        <f>F397</f>
        <v>492.894</v>
      </c>
      <c r="F397" s="22">
        <f>ROUND(492.894,3)</f>
        <v>492.894</v>
      </c>
      <c r="G397" s="19"/>
      <c r="H397" s="29"/>
    </row>
    <row r="398" spans="1:8" ht="12.75" customHeight="1">
      <c r="A398" s="31">
        <v>42768</v>
      </c>
      <c r="B398" s="31"/>
      <c r="C398" s="22">
        <f>ROUND(475.391,3)</f>
        <v>475.391</v>
      </c>
      <c r="D398" s="22">
        <f>F398</f>
        <v>502.847</v>
      </c>
      <c r="E398" s="22">
        <f>F398</f>
        <v>502.847</v>
      </c>
      <c r="F398" s="22">
        <f>ROUND(502.847,3)</f>
        <v>502.847</v>
      </c>
      <c r="G398" s="19"/>
      <c r="H398" s="29"/>
    </row>
    <row r="399" spans="1:8" ht="12.75" customHeight="1">
      <c r="A399" s="31">
        <v>42859</v>
      </c>
      <c r="B399" s="31"/>
      <c r="C399" s="22">
        <f>ROUND(475.391,3)</f>
        <v>475.391</v>
      </c>
      <c r="D399" s="22">
        <f>F399</f>
        <v>513.72</v>
      </c>
      <c r="E399" s="22">
        <f>F399</f>
        <v>513.72</v>
      </c>
      <c r="F399" s="22">
        <f>ROUND(513.72,3)</f>
        <v>513.72</v>
      </c>
      <c r="G399" s="19"/>
      <c r="H399" s="29"/>
    </row>
    <row r="400" spans="1:8" ht="12.75" customHeight="1">
      <c r="A400" s="31" t="s">
        <v>85</v>
      </c>
      <c r="B400" s="31"/>
      <c r="C400" s="18"/>
      <c r="D400" s="18"/>
      <c r="E400" s="18"/>
      <c r="F400" s="18"/>
      <c r="G400" s="19"/>
      <c r="H400" s="29"/>
    </row>
    <row r="401" spans="1:8" ht="12.75" customHeight="1">
      <c r="A401" s="31">
        <v>42586</v>
      </c>
      <c r="B401" s="31"/>
      <c r="C401" s="22">
        <f>ROUND(545.518,3)</f>
        <v>545.518</v>
      </c>
      <c r="D401" s="22">
        <f>F401</f>
        <v>554.876</v>
      </c>
      <c r="E401" s="22">
        <f>F401</f>
        <v>554.876</v>
      </c>
      <c r="F401" s="22">
        <f>ROUND(554.876,3)</f>
        <v>554.876</v>
      </c>
      <c r="G401" s="19"/>
      <c r="H401" s="29"/>
    </row>
    <row r="402" spans="1:8" ht="12.75" customHeight="1">
      <c r="A402" s="31">
        <v>42677</v>
      </c>
      <c r="B402" s="31"/>
      <c r="C402" s="22">
        <f>ROUND(545.518,3)</f>
        <v>545.518</v>
      </c>
      <c r="D402" s="22">
        <f>F402</f>
        <v>565.603</v>
      </c>
      <c r="E402" s="22">
        <f>F402</f>
        <v>565.603</v>
      </c>
      <c r="F402" s="22">
        <f>ROUND(565.603,3)</f>
        <v>565.603</v>
      </c>
      <c r="G402" s="19"/>
      <c r="H402" s="29"/>
    </row>
    <row r="403" spans="1:8" ht="12.75" customHeight="1">
      <c r="A403" s="31">
        <v>42768</v>
      </c>
      <c r="B403" s="31"/>
      <c r="C403" s="22">
        <f>ROUND(545.518,3)</f>
        <v>545.518</v>
      </c>
      <c r="D403" s="22">
        <f>F403</f>
        <v>577.025</v>
      </c>
      <c r="E403" s="22">
        <f>F403</f>
        <v>577.025</v>
      </c>
      <c r="F403" s="22">
        <f>ROUND(577.025,3)</f>
        <v>577.025</v>
      </c>
      <c r="G403" s="19"/>
      <c r="H403" s="29"/>
    </row>
    <row r="404" spans="1:8" ht="12.75" customHeight="1">
      <c r="A404" s="31">
        <v>42859</v>
      </c>
      <c r="B404" s="31"/>
      <c r="C404" s="22">
        <f>ROUND(545.518,3)</f>
        <v>545.518</v>
      </c>
      <c r="D404" s="22">
        <f>F404</f>
        <v>589.501</v>
      </c>
      <c r="E404" s="22">
        <f>F404</f>
        <v>589.501</v>
      </c>
      <c r="F404" s="22">
        <f>ROUND(589.501,3)</f>
        <v>589.501</v>
      </c>
      <c r="G404" s="19"/>
      <c r="H404" s="29"/>
    </row>
    <row r="405" spans="1:8" ht="12.75" customHeight="1">
      <c r="A405" s="31" t="s">
        <v>86</v>
      </c>
      <c r="B405" s="31"/>
      <c r="C405" s="18"/>
      <c r="D405" s="18"/>
      <c r="E405" s="18"/>
      <c r="F405" s="18"/>
      <c r="G405" s="19"/>
      <c r="H405" s="29"/>
    </row>
    <row r="406" spans="1:8" ht="12.75" customHeight="1">
      <c r="A406" s="31">
        <v>42586</v>
      </c>
      <c r="B406" s="31"/>
      <c r="C406" s="22">
        <f>ROUND(495.508,3)</f>
        <v>495.508</v>
      </c>
      <c r="D406" s="22">
        <f>F406</f>
        <v>504.008</v>
      </c>
      <c r="E406" s="22">
        <f>F406</f>
        <v>504.008</v>
      </c>
      <c r="F406" s="22">
        <f>ROUND(504.008,3)</f>
        <v>504.008</v>
      </c>
      <c r="G406" s="19"/>
      <c r="H406" s="29"/>
    </row>
    <row r="407" spans="1:8" ht="12.75" customHeight="1">
      <c r="A407" s="31">
        <v>42677</v>
      </c>
      <c r="B407" s="31"/>
      <c r="C407" s="22">
        <f>ROUND(495.508,3)</f>
        <v>495.508</v>
      </c>
      <c r="D407" s="22">
        <f>F407</f>
        <v>513.752</v>
      </c>
      <c r="E407" s="22">
        <f>F407</f>
        <v>513.752</v>
      </c>
      <c r="F407" s="22">
        <f>ROUND(513.752,3)</f>
        <v>513.752</v>
      </c>
      <c r="G407" s="19"/>
      <c r="H407" s="29"/>
    </row>
    <row r="408" spans="1:8" ht="12.75" customHeight="1">
      <c r="A408" s="31">
        <v>42768</v>
      </c>
      <c r="B408" s="31"/>
      <c r="C408" s="22">
        <f>ROUND(495.508,3)</f>
        <v>495.508</v>
      </c>
      <c r="D408" s="22">
        <f>F408</f>
        <v>524.126</v>
      </c>
      <c r="E408" s="22">
        <f>F408</f>
        <v>524.126</v>
      </c>
      <c r="F408" s="22">
        <f>ROUND(524.126,3)</f>
        <v>524.126</v>
      </c>
      <c r="G408" s="19"/>
      <c r="H408" s="29"/>
    </row>
    <row r="409" spans="1:8" ht="12.75" customHeight="1">
      <c r="A409" s="31">
        <v>42859</v>
      </c>
      <c r="B409" s="31"/>
      <c r="C409" s="22">
        <f>ROUND(495.508,3)</f>
        <v>495.508</v>
      </c>
      <c r="D409" s="22">
        <f>F409</f>
        <v>535.459</v>
      </c>
      <c r="E409" s="22">
        <f>F409</f>
        <v>535.459</v>
      </c>
      <c r="F409" s="22">
        <f>ROUND(535.459,3)</f>
        <v>535.459</v>
      </c>
      <c r="G409" s="19"/>
      <c r="H409" s="29"/>
    </row>
    <row r="410" spans="1:8" ht="12.75" customHeight="1">
      <c r="A410" s="31" t="s">
        <v>87</v>
      </c>
      <c r="B410" s="31"/>
      <c r="C410" s="18"/>
      <c r="D410" s="18"/>
      <c r="E410" s="18"/>
      <c r="F410" s="18"/>
      <c r="G410" s="19"/>
      <c r="H410" s="29"/>
    </row>
    <row r="411" spans="1:8" ht="12.75" customHeight="1">
      <c r="A411" s="31">
        <v>42586</v>
      </c>
      <c r="B411" s="31"/>
      <c r="C411" s="22">
        <f>ROUND(243.045280049688,3)</f>
        <v>243.045</v>
      </c>
      <c r="D411" s="22">
        <f>F411</f>
        <v>247.233</v>
      </c>
      <c r="E411" s="22">
        <f>F411</f>
        <v>247.233</v>
      </c>
      <c r="F411" s="22">
        <f>ROUND(247.233,3)</f>
        <v>247.233</v>
      </c>
      <c r="G411" s="19"/>
      <c r="H411" s="29"/>
    </row>
    <row r="412" spans="1:8" ht="12.75" customHeight="1">
      <c r="A412" s="31">
        <v>42677</v>
      </c>
      <c r="B412" s="31"/>
      <c r="C412" s="22">
        <f>ROUND(243.045280049688,3)</f>
        <v>243.045</v>
      </c>
      <c r="D412" s="22">
        <f>F412</f>
        <v>252.032</v>
      </c>
      <c r="E412" s="22">
        <f>F412</f>
        <v>252.032</v>
      </c>
      <c r="F412" s="22">
        <f>ROUND(252.032,3)</f>
        <v>252.032</v>
      </c>
      <c r="G412" s="19"/>
      <c r="H412" s="29"/>
    </row>
    <row r="413" spans="1:8" ht="12.75" customHeight="1">
      <c r="A413" s="31">
        <v>42768</v>
      </c>
      <c r="B413" s="31"/>
      <c r="C413" s="22">
        <f>ROUND(243.045280049688,3)</f>
        <v>243.045</v>
      </c>
      <c r="D413" s="22">
        <f>F413</f>
        <v>257.142</v>
      </c>
      <c r="E413" s="22">
        <f>F413</f>
        <v>257.142</v>
      </c>
      <c r="F413" s="22">
        <f>ROUND(257.142,3)</f>
        <v>257.142</v>
      </c>
      <c r="G413" s="19"/>
      <c r="H413" s="29"/>
    </row>
    <row r="414" spans="1:8" ht="12.75" customHeight="1">
      <c r="A414" s="31">
        <v>42859</v>
      </c>
      <c r="B414" s="31"/>
      <c r="C414" s="22">
        <f>ROUND(243.045280049688,3)</f>
        <v>243.045</v>
      </c>
      <c r="D414" s="22">
        <f>F414</f>
        <v>262.721</v>
      </c>
      <c r="E414" s="22">
        <f>F414</f>
        <v>262.721</v>
      </c>
      <c r="F414" s="22">
        <f>ROUND(262.721,3)</f>
        <v>262.721</v>
      </c>
      <c r="G414" s="19"/>
      <c r="H414" s="29"/>
    </row>
    <row r="415" spans="1:8" ht="12.75" customHeight="1">
      <c r="A415" s="31" t="s">
        <v>88</v>
      </c>
      <c r="B415" s="31"/>
      <c r="C415" s="18"/>
      <c r="D415" s="18"/>
      <c r="E415" s="18"/>
      <c r="F415" s="18"/>
      <c r="G415" s="19"/>
      <c r="H415" s="29"/>
    </row>
    <row r="416" spans="1:8" ht="12.75" customHeight="1">
      <c r="A416" s="31">
        <v>42586</v>
      </c>
      <c r="B416" s="31"/>
      <c r="C416" s="22">
        <f>ROUND(659.380195567784,3)</f>
        <v>659.38</v>
      </c>
      <c r="D416" s="22">
        <f>F416</f>
        <v>670.624</v>
      </c>
      <c r="E416" s="22">
        <f>F416</f>
        <v>670.624</v>
      </c>
      <c r="F416" s="22">
        <f>ROUND(670.624,3)</f>
        <v>670.624</v>
      </c>
      <c r="G416" s="19"/>
      <c r="H416" s="29"/>
    </row>
    <row r="417" spans="1:8" ht="12.75" customHeight="1">
      <c r="A417" s="31">
        <v>42677</v>
      </c>
      <c r="B417" s="31"/>
      <c r="C417" s="22">
        <f>ROUND(659.380195567784,3)</f>
        <v>659.38</v>
      </c>
      <c r="D417" s="22">
        <f>F417</f>
        <v>683.429</v>
      </c>
      <c r="E417" s="22">
        <f>F417</f>
        <v>683.429</v>
      </c>
      <c r="F417" s="22">
        <f>ROUND(683.429,3)</f>
        <v>683.429</v>
      </c>
      <c r="G417" s="19"/>
      <c r="H417" s="29"/>
    </row>
    <row r="418" spans="1:8" ht="12.75" customHeight="1">
      <c r="A418" s="31">
        <v>42768</v>
      </c>
      <c r="B418" s="31"/>
      <c r="C418" s="22">
        <f>ROUND(659.380195567784,3)</f>
        <v>659.38</v>
      </c>
      <c r="D418" s="22">
        <f>F418</f>
        <v>696.967</v>
      </c>
      <c r="E418" s="22">
        <f>F418</f>
        <v>696.967</v>
      </c>
      <c r="F418" s="22">
        <f>ROUND(696.967,3)</f>
        <v>696.967</v>
      </c>
      <c r="G418" s="19"/>
      <c r="H418" s="29"/>
    </row>
    <row r="419" spans="1:8" ht="12.75" customHeight="1">
      <c r="A419" s="31">
        <v>42859</v>
      </c>
      <c r="B419" s="31"/>
      <c r="C419" s="22">
        <f>ROUND(659.380195567784,3)</f>
        <v>659.38</v>
      </c>
      <c r="D419" s="22">
        <f>F419</f>
        <v>710.836</v>
      </c>
      <c r="E419" s="22">
        <f>F419</f>
        <v>710.836</v>
      </c>
      <c r="F419" s="22">
        <f>ROUND(710.836,3)</f>
        <v>710.836</v>
      </c>
      <c r="G419" s="19"/>
      <c r="H419" s="29"/>
    </row>
    <row r="420" spans="1:8" ht="12.75" customHeight="1">
      <c r="A420" s="31" t="s">
        <v>89</v>
      </c>
      <c r="B420" s="31"/>
      <c r="C420" s="18"/>
      <c r="D420" s="18"/>
      <c r="E420" s="18"/>
      <c r="F420" s="18"/>
      <c r="G420" s="19"/>
      <c r="H420" s="29"/>
    </row>
    <row r="421" spans="1:8" ht="12.75" customHeight="1">
      <c r="A421" s="31">
        <v>42534</v>
      </c>
      <c r="B421" s="31"/>
      <c r="C421" s="19">
        <f>ROUND(26975.11,2)</f>
        <v>26975.11</v>
      </c>
      <c r="D421" s="19">
        <f>F421</f>
        <v>27100.32</v>
      </c>
      <c r="E421" s="19">
        <f>F421</f>
        <v>27100.32</v>
      </c>
      <c r="F421" s="19">
        <f>ROUND(27100.32,2)</f>
        <v>27100.32</v>
      </c>
      <c r="G421" s="19"/>
      <c r="H421" s="29"/>
    </row>
    <row r="422" spans="1:8" ht="12.75" customHeight="1">
      <c r="A422" s="31">
        <v>42632</v>
      </c>
      <c r="B422" s="31"/>
      <c r="C422" s="19">
        <f>ROUND(26975.11,2)</f>
        <v>26975.11</v>
      </c>
      <c r="D422" s="19">
        <f>F422</f>
        <v>27639.28</v>
      </c>
      <c r="E422" s="19">
        <f>F422</f>
        <v>27639.28</v>
      </c>
      <c r="F422" s="19">
        <f>ROUND(27639.28,2)</f>
        <v>27639.28</v>
      </c>
      <c r="G422" s="19"/>
      <c r="H422" s="29"/>
    </row>
    <row r="423" spans="1:8" ht="12.75" customHeight="1">
      <c r="A423" s="31">
        <v>42723</v>
      </c>
      <c r="B423" s="31"/>
      <c r="C423" s="19">
        <f>ROUND(26975.11,2)</f>
        <v>26975.11</v>
      </c>
      <c r="D423" s="19">
        <f>F423</f>
        <v>28155.82</v>
      </c>
      <c r="E423" s="19">
        <f>F423</f>
        <v>28155.82</v>
      </c>
      <c r="F423" s="19">
        <f>ROUND(28155.82,2)</f>
        <v>28155.82</v>
      </c>
      <c r="G423" s="19"/>
      <c r="H423" s="29"/>
    </row>
    <row r="424" spans="1:8" ht="12.75" customHeight="1">
      <c r="A424" s="31" t="s">
        <v>90</v>
      </c>
      <c r="B424" s="31"/>
      <c r="C424" s="18"/>
      <c r="D424" s="18"/>
      <c r="E424" s="18"/>
      <c r="F424" s="18"/>
      <c r="G424" s="19"/>
      <c r="H424" s="29"/>
    </row>
    <row r="425" spans="1:8" ht="12.75" customHeight="1">
      <c r="A425" s="31">
        <v>42508</v>
      </c>
      <c r="B425" s="31"/>
      <c r="C425" s="22">
        <f aca="true" t="shared" si="15" ref="C425:C436">ROUND(7.178,3)</f>
        <v>7.178</v>
      </c>
      <c r="D425" s="22">
        <f>ROUND(7.36,3)</f>
        <v>7.36</v>
      </c>
      <c r="E425" s="22">
        <f>ROUND(7.26,3)</f>
        <v>7.26</v>
      </c>
      <c r="F425" s="22">
        <f>ROUND(7.31,3)</f>
        <v>7.31</v>
      </c>
      <c r="G425" s="19"/>
      <c r="H425" s="29"/>
    </row>
    <row r="426" spans="1:8" ht="12.75" customHeight="1">
      <c r="A426" s="31">
        <v>42536</v>
      </c>
      <c r="B426" s="31"/>
      <c r="C426" s="22">
        <f t="shared" si="15"/>
        <v>7.178</v>
      </c>
      <c r="D426" s="22">
        <f>ROUND(7.44,3)</f>
        <v>7.44</v>
      </c>
      <c r="E426" s="22">
        <f>ROUND(7.34,3)</f>
        <v>7.34</v>
      </c>
      <c r="F426" s="22">
        <f>ROUND(7.39,3)</f>
        <v>7.39</v>
      </c>
      <c r="G426" s="19"/>
      <c r="H426" s="29"/>
    </row>
    <row r="427" spans="1:8" ht="12.75" customHeight="1">
      <c r="A427" s="31">
        <v>42571</v>
      </c>
      <c r="B427" s="31"/>
      <c r="C427" s="22">
        <f t="shared" si="15"/>
        <v>7.178</v>
      </c>
      <c r="D427" s="22">
        <f>ROUND(7.5,3)</f>
        <v>7.5</v>
      </c>
      <c r="E427" s="22">
        <f>ROUND(7.4,3)</f>
        <v>7.4</v>
      </c>
      <c r="F427" s="22">
        <f>ROUND(7.45,3)</f>
        <v>7.45</v>
      </c>
      <c r="G427" s="19"/>
      <c r="H427" s="29"/>
    </row>
    <row r="428" spans="1:8" ht="12.75" customHeight="1">
      <c r="A428" s="31">
        <v>42599</v>
      </c>
      <c r="B428" s="31"/>
      <c r="C428" s="22">
        <f t="shared" si="15"/>
        <v>7.178</v>
      </c>
      <c r="D428" s="22">
        <f>ROUND(7.57,3)</f>
        <v>7.57</v>
      </c>
      <c r="E428" s="22">
        <f>ROUND(7.47,3)</f>
        <v>7.47</v>
      </c>
      <c r="F428" s="22">
        <f>ROUND(7.52,3)</f>
        <v>7.52</v>
      </c>
      <c r="G428" s="19"/>
      <c r="H428" s="29"/>
    </row>
    <row r="429" spans="1:8" ht="12.75" customHeight="1">
      <c r="A429" s="31">
        <v>42634</v>
      </c>
      <c r="B429" s="31"/>
      <c r="C429" s="22">
        <f t="shared" si="15"/>
        <v>7.178</v>
      </c>
      <c r="D429" s="22">
        <f>ROUND(7.62,3)</f>
        <v>7.62</v>
      </c>
      <c r="E429" s="22">
        <f>ROUND(7.52,3)</f>
        <v>7.52</v>
      </c>
      <c r="F429" s="22">
        <f>ROUND(7.57,3)</f>
        <v>7.57</v>
      </c>
      <c r="G429" s="19"/>
      <c r="H429" s="29"/>
    </row>
    <row r="430" spans="1:8" ht="12.75" customHeight="1">
      <c r="A430" s="31">
        <v>42662</v>
      </c>
      <c r="B430" s="31"/>
      <c r="C430" s="22">
        <f t="shared" si="15"/>
        <v>7.178</v>
      </c>
      <c r="D430" s="22">
        <f>ROUND(7.7,3)</f>
        <v>7.7</v>
      </c>
      <c r="E430" s="22">
        <f>ROUND(7.6,3)</f>
        <v>7.6</v>
      </c>
      <c r="F430" s="22">
        <f>ROUND(7.57,3)</f>
        <v>7.57</v>
      </c>
      <c r="G430" s="19"/>
      <c r="H430" s="29"/>
    </row>
    <row r="431" spans="1:8" ht="12.75" customHeight="1">
      <c r="A431" s="31">
        <v>42725</v>
      </c>
      <c r="B431" s="31"/>
      <c r="C431" s="22">
        <f t="shared" si="15"/>
        <v>7.178</v>
      </c>
      <c r="D431" s="22">
        <f>ROUND(7.81,3)</f>
        <v>7.81</v>
      </c>
      <c r="E431" s="22">
        <f>ROUND(7.71,3)</f>
        <v>7.71</v>
      </c>
      <c r="F431" s="22">
        <f>ROUND(7.76,3)</f>
        <v>7.76</v>
      </c>
      <c r="G431" s="19"/>
      <c r="H431" s="29"/>
    </row>
    <row r="432" spans="1:8" ht="12.75" customHeight="1">
      <c r="A432" s="31">
        <v>42809</v>
      </c>
      <c r="B432" s="31"/>
      <c r="C432" s="22">
        <f t="shared" si="15"/>
        <v>7.178</v>
      </c>
      <c r="D432" s="22">
        <f>ROUND(7.96,3)</f>
        <v>7.96</v>
      </c>
      <c r="E432" s="22">
        <f>ROUND(7.86,3)</f>
        <v>7.86</v>
      </c>
      <c r="F432" s="22">
        <f>ROUND(7.91,3)</f>
        <v>7.91</v>
      </c>
      <c r="G432" s="19"/>
      <c r="H432" s="29"/>
    </row>
    <row r="433" spans="1:8" ht="12.75" customHeight="1">
      <c r="A433" s="31">
        <v>42907</v>
      </c>
      <c r="B433" s="31"/>
      <c r="C433" s="22">
        <f t="shared" si="15"/>
        <v>7.178</v>
      </c>
      <c r="D433" s="22">
        <f>ROUND(8.06,3)</f>
        <v>8.06</v>
      </c>
      <c r="E433" s="22">
        <f>ROUND(7.96,3)</f>
        <v>7.96</v>
      </c>
      <c r="F433" s="22">
        <f>ROUND(8.01,3)</f>
        <v>8.01</v>
      </c>
      <c r="G433" s="19"/>
      <c r="H433" s="29"/>
    </row>
    <row r="434" spans="1:8" ht="12.75" customHeight="1">
      <c r="A434" s="31">
        <v>42998</v>
      </c>
      <c r="B434" s="31"/>
      <c r="C434" s="22">
        <f t="shared" si="15"/>
        <v>7.178</v>
      </c>
      <c r="D434" s="22">
        <f>ROUND(8.14,3)</f>
        <v>8.14</v>
      </c>
      <c r="E434" s="22">
        <f>ROUND(8.04,3)</f>
        <v>8.04</v>
      </c>
      <c r="F434" s="22">
        <f>ROUND(8.09,3)</f>
        <v>8.09</v>
      </c>
      <c r="G434" s="19"/>
      <c r="H434" s="29"/>
    </row>
    <row r="435" spans="1:8" ht="12.75" customHeight="1">
      <c r="A435" s="31">
        <v>43089</v>
      </c>
      <c r="B435" s="31"/>
      <c r="C435" s="22">
        <f t="shared" si="15"/>
        <v>7.178</v>
      </c>
      <c r="D435" s="22">
        <f>ROUND(8.22,3)</f>
        <v>8.22</v>
      </c>
      <c r="E435" s="22">
        <f>ROUND(8.12,3)</f>
        <v>8.12</v>
      </c>
      <c r="F435" s="22">
        <f>ROUND(8.17,3)</f>
        <v>8.17</v>
      </c>
      <c r="G435" s="19"/>
      <c r="H435" s="29"/>
    </row>
    <row r="436" spans="1:8" ht="12.75" customHeight="1">
      <c r="A436" s="31">
        <v>43179</v>
      </c>
      <c r="B436" s="31"/>
      <c r="C436" s="22">
        <f t="shared" si="15"/>
        <v>7.178</v>
      </c>
      <c r="D436" s="22">
        <f>ROUND(8.27,3)</f>
        <v>8.27</v>
      </c>
      <c r="E436" s="22">
        <f>ROUND(8.17,3)</f>
        <v>8.17</v>
      </c>
      <c r="F436" s="22">
        <f>ROUND(8.22,3)</f>
        <v>8.22</v>
      </c>
      <c r="G436" s="19"/>
      <c r="H436" s="29"/>
    </row>
    <row r="437" spans="1:8" ht="12.75" customHeight="1">
      <c r="A437" s="31" t="s">
        <v>91</v>
      </c>
      <c r="B437" s="31"/>
      <c r="C437" s="18"/>
      <c r="D437" s="18"/>
      <c r="E437" s="18"/>
      <c r="F437" s="18"/>
      <c r="G437" s="19"/>
      <c r="H437" s="29"/>
    </row>
    <row r="438" spans="1:8" ht="12.75" customHeight="1">
      <c r="A438" s="31">
        <v>42586</v>
      </c>
      <c r="B438" s="31"/>
      <c r="C438" s="22">
        <f>ROUND(494.446,3)</f>
        <v>494.446</v>
      </c>
      <c r="D438" s="22">
        <f>F438</f>
        <v>502.928</v>
      </c>
      <c r="E438" s="22">
        <f>F438</f>
        <v>502.928</v>
      </c>
      <c r="F438" s="22">
        <f>ROUND(502.928,3)</f>
        <v>502.928</v>
      </c>
      <c r="G438" s="19"/>
      <c r="H438" s="29"/>
    </row>
    <row r="439" spans="1:8" ht="12.75" customHeight="1">
      <c r="A439" s="31">
        <v>42677</v>
      </c>
      <c r="B439" s="31"/>
      <c r="C439" s="22">
        <f>ROUND(494.446,3)</f>
        <v>494.446</v>
      </c>
      <c r="D439" s="22">
        <f>F439</f>
        <v>512.651</v>
      </c>
      <c r="E439" s="22">
        <f>F439</f>
        <v>512.651</v>
      </c>
      <c r="F439" s="22">
        <f>ROUND(512.651,3)</f>
        <v>512.651</v>
      </c>
      <c r="G439" s="19"/>
      <c r="H439" s="29"/>
    </row>
    <row r="440" spans="1:8" ht="12.75" customHeight="1">
      <c r="A440" s="31">
        <v>42768</v>
      </c>
      <c r="B440" s="31"/>
      <c r="C440" s="22">
        <f>ROUND(494.446,3)</f>
        <v>494.446</v>
      </c>
      <c r="D440" s="22">
        <f>F440</f>
        <v>523.003</v>
      </c>
      <c r="E440" s="22">
        <f>F440</f>
        <v>523.003</v>
      </c>
      <c r="F440" s="22">
        <f>ROUND(523.003,3)</f>
        <v>523.003</v>
      </c>
      <c r="G440" s="19"/>
      <c r="H440" s="29"/>
    </row>
    <row r="441" spans="1:8" ht="12.75" customHeight="1">
      <c r="A441" s="31">
        <v>42859</v>
      </c>
      <c r="B441" s="31"/>
      <c r="C441" s="22">
        <f>ROUND(494.446,3)</f>
        <v>494.446</v>
      </c>
      <c r="D441" s="22">
        <f>F441</f>
        <v>534.312</v>
      </c>
      <c r="E441" s="22">
        <f>F441</f>
        <v>534.312</v>
      </c>
      <c r="F441" s="22">
        <f>ROUND(534.312,3)</f>
        <v>534.312</v>
      </c>
      <c r="G441" s="19"/>
      <c r="H441" s="29"/>
    </row>
    <row r="442" spans="1:8" ht="12.75" customHeight="1">
      <c r="A442" s="31" t="s">
        <v>92</v>
      </c>
      <c r="B442" s="31"/>
      <c r="C442" s="18"/>
      <c r="D442" s="18"/>
      <c r="E442" s="18"/>
      <c r="F442" s="18"/>
      <c r="G442" s="19"/>
      <c r="H442" s="29"/>
    </row>
    <row r="443" spans="1:8" ht="12.75" customHeight="1">
      <c r="A443" s="31">
        <v>42723</v>
      </c>
      <c r="B443" s="31"/>
      <c r="C443" s="20">
        <f>ROUND(99.9202458419016,5)</f>
        <v>99.92025</v>
      </c>
      <c r="D443" s="20">
        <f>F443</f>
        <v>100.13696</v>
      </c>
      <c r="E443" s="20">
        <f>F443</f>
        <v>100.13696</v>
      </c>
      <c r="F443" s="20">
        <f>ROUND(100.136964128171,5)</f>
        <v>100.13696</v>
      </c>
      <c r="G443" s="19"/>
      <c r="H443" s="29"/>
    </row>
    <row r="444" spans="1:8" ht="12.75" customHeight="1">
      <c r="A444" s="31" t="s">
        <v>93</v>
      </c>
      <c r="B444" s="31"/>
      <c r="C444" s="18"/>
      <c r="D444" s="18"/>
      <c r="E444" s="18"/>
      <c r="F444" s="18"/>
      <c r="G444" s="19"/>
      <c r="H444" s="29"/>
    </row>
    <row r="445" spans="1:8" ht="12.75" customHeight="1">
      <c r="A445" s="31">
        <v>42810</v>
      </c>
      <c r="B445" s="31"/>
      <c r="C445" s="20">
        <f>ROUND(99.9202458419016,5)</f>
        <v>99.92025</v>
      </c>
      <c r="D445" s="20">
        <f>F445</f>
        <v>100.16738</v>
      </c>
      <c r="E445" s="20">
        <f>F445</f>
        <v>100.16738</v>
      </c>
      <c r="F445" s="20">
        <f>ROUND(100.167377449566,5)</f>
        <v>100.16738</v>
      </c>
      <c r="G445" s="19"/>
      <c r="H445" s="29"/>
    </row>
    <row r="446" spans="1:8" ht="12.75" customHeight="1">
      <c r="A446" s="31" t="s">
        <v>94</v>
      </c>
      <c r="B446" s="31"/>
      <c r="C446" s="18"/>
      <c r="D446" s="18"/>
      <c r="E446" s="18"/>
      <c r="F446" s="18"/>
      <c r="G446" s="19"/>
      <c r="H446" s="29"/>
    </row>
    <row r="447" spans="1:8" ht="12.75" customHeight="1">
      <c r="A447" s="31">
        <v>42901</v>
      </c>
      <c r="B447" s="31"/>
      <c r="C447" s="20">
        <f>ROUND(99.9202458419016,5)</f>
        <v>99.92025</v>
      </c>
      <c r="D447" s="20">
        <f>F447</f>
        <v>99.92025</v>
      </c>
      <c r="E447" s="20">
        <f>F447</f>
        <v>99.92025</v>
      </c>
      <c r="F447" s="20">
        <f>ROUND(99.9202458419016,5)</f>
        <v>99.92025</v>
      </c>
      <c r="G447" s="19"/>
      <c r="H447" s="29"/>
    </row>
    <row r="448" spans="1:8" ht="12.75" customHeight="1">
      <c r="A448" s="31" t="s">
        <v>95</v>
      </c>
      <c r="B448" s="31"/>
      <c r="C448" s="18"/>
      <c r="D448" s="18"/>
      <c r="E448" s="18"/>
      <c r="F448" s="18"/>
      <c r="G448" s="19"/>
      <c r="H448" s="29"/>
    </row>
    <row r="449" spans="1:8" ht="12.75" customHeight="1">
      <c r="A449" s="31">
        <v>43087</v>
      </c>
      <c r="B449" s="31"/>
      <c r="C449" s="20">
        <f>ROUND(99.8477934579279,5)</f>
        <v>99.84779</v>
      </c>
      <c r="D449" s="20">
        <f>F449</f>
        <v>100.5358</v>
      </c>
      <c r="E449" s="20">
        <f>F449</f>
        <v>100.5358</v>
      </c>
      <c r="F449" s="20">
        <f>ROUND(100.535804989734,5)</f>
        <v>100.5358</v>
      </c>
      <c r="G449" s="19"/>
      <c r="H449" s="29"/>
    </row>
    <row r="450" spans="1:8" ht="12.75" customHeight="1">
      <c r="A450" s="31" t="s">
        <v>96</v>
      </c>
      <c r="B450" s="31"/>
      <c r="C450" s="18"/>
      <c r="D450" s="18"/>
      <c r="E450" s="18"/>
      <c r="F450" s="18"/>
      <c r="G450" s="19"/>
      <c r="H450" s="29"/>
    </row>
    <row r="451" spans="1:8" ht="12.75" customHeight="1">
      <c r="A451" s="31">
        <v>43175</v>
      </c>
      <c r="B451" s="31"/>
      <c r="C451" s="20">
        <f>ROUND(99.8477934579279,5)</f>
        <v>99.84779</v>
      </c>
      <c r="D451" s="20">
        <f>F451</f>
        <v>99.9892</v>
      </c>
      <c r="E451" s="20">
        <f>F451</f>
        <v>99.9892</v>
      </c>
      <c r="F451" s="20">
        <f>ROUND(99.9892009618122,5)</f>
        <v>99.9892</v>
      </c>
      <c r="G451" s="19"/>
      <c r="H451" s="29"/>
    </row>
    <row r="452" spans="1:8" ht="12.75" customHeight="1">
      <c r="A452" s="31" t="s">
        <v>97</v>
      </c>
      <c r="B452" s="31"/>
      <c r="C452" s="18"/>
      <c r="D452" s="18"/>
      <c r="E452" s="18"/>
      <c r="F452" s="18"/>
      <c r="G452" s="19"/>
      <c r="H452" s="29"/>
    </row>
    <row r="453" spans="1:8" ht="12.75" customHeight="1">
      <c r="A453" s="31">
        <v>43266</v>
      </c>
      <c r="B453" s="31"/>
      <c r="C453" s="20">
        <f>ROUND(99.8477934579279,5)</f>
        <v>99.84779</v>
      </c>
      <c r="D453" s="20">
        <f>F453</f>
        <v>99.84779</v>
      </c>
      <c r="E453" s="20">
        <f>F453</f>
        <v>99.84779</v>
      </c>
      <c r="F453" s="20">
        <f>ROUND(99.8477934579279,5)</f>
        <v>99.84779</v>
      </c>
      <c r="G453" s="19"/>
      <c r="H453" s="29"/>
    </row>
    <row r="454" spans="1:8" ht="12.75" customHeight="1">
      <c r="A454" s="31" t="s">
        <v>98</v>
      </c>
      <c r="B454" s="31"/>
      <c r="C454" s="18"/>
      <c r="D454" s="18"/>
      <c r="E454" s="18"/>
      <c r="F454" s="18"/>
      <c r="G454" s="19"/>
      <c r="H454" s="29"/>
    </row>
    <row r="455" spans="1:8" ht="12.75" customHeight="1">
      <c r="A455" s="31">
        <v>44182</v>
      </c>
      <c r="B455" s="31"/>
      <c r="C455" s="20">
        <f>ROUND(99.4504049834391,5)</f>
        <v>99.4504</v>
      </c>
      <c r="D455" s="20">
        <f>F455</f>
        <v>100.50266</v>
      </c>
      <c r="E455" s="20">
        <f>F455</f>
        <v>100.50266</v>
      </c>
      <c r="F455" s="20">
        <f>ROUND(100.502656978408,5)</f>
        <v>100.50266</v>
      </c>
      <c r="G455" s="19"/>
      <c r="H455" s="29"/>
    </row>
    <row r="456" spans="1:8" ht="12.75" customHeight="1">
      <c r="A456" s="31" t="s">
        <v>99</v>
      </c>
      <c r="B456" s="31"/>
      <c r="C456" s="18"/>
      <c r="D456" s="18"/>
      <c r="E456" s="18"/>
      <c r="F456" s="18"/>
      <c r="G456" s="19"/>
      <c r="H456" s="29"/>
    </row>
    <row r="457" spans="1:8" ht="12.75" customHeight="1">
      <c r="A457" s="31">
        <v>44271</v>
      </c>
      <c r="B457" s="31"/>
      <c r="C457" s="20">
        <f>ROUND(99.4504049834391,5)</f>
        <v>99.4504</v>
      </c>
      <c r="D457" s="20">
        <f>F457</f>
        <v>99.99306</v>
      </c>
      <c r="E457" s="20">
        <f>F457</f>
        <v>99.99306</v>
      </c>
      <c r="F457" s="20">
        <f>ROUND(99.9930638682306,5)</f>
        <v>99.99306</v>
      </c>
      <c r="G457" s="19"/>
      <c r="H457" s="29"/>
    </row>
    <row r="458" spans="1:8" ht="12.75" customHeight="1">
      <c r="A458" s="31" t="s">
        <v>100</v>
      </c>
      <c r="B458" s="31"/>
      <c r="C458" s="18"/>
      <c r="D458" s="18"/>
      <c r="E458" s="18"/>
      <c r="F458" s="18"/>
      <c r="G458" s="19"/>
      <c r="H458" s="29"/>
    </row>
    <row r="459" spans="1:8" ht="12.75" customHeight="1">
      <c r="A459" s="31">
        <v>44362</v>
      </c>
      <c r="B459" s="31"/>
      <c r="C459" s="20">
        <f>ROUND(99.4504049834391,5)</f>
        <v>99.4504</v>
      </c>
      <c r="D459" s="20">
        <f>F459</f>
        <v>99.4504</v>
      </c>
      <c r="E459" s="20">
        <f>F459</f>
        <v>99.4504</v>
      </c>
      <c r="F459" s="20">
        <f>ROUND(99.4504049834391,5)</f>
        <v>99.4504</v>
      </c>
      <c r="G459" s="19"/>
      <c r="H459" s="29"/>
    </row>
    <row r="460" spans="1:8" ht="12.75" customHeight="1">
      <c r="A460" s="31" t="s">
        <v>101</v>
      </c>
      <c r="B460" s="31"/>
      <c r="C460" s="18"/>
      <c r="D460" s="18"/>
      <c r="E460" s="18"/>
      <c r="F460" s="18"/>
      <c r="G460" s="19"/>
      <c r="H460" s="29"/>
    </row>
    <row r="461" spans="1:8" ht="12.75" customHeight="1">
      <c r="A461" s="31">
        <v>46008</v>
      </c>
      <c r="B461" s="31"/>
      <c r="C461" s="20">
        <f>ROUND(98.5119527322863,5)</f>
        <v>98.51195</v>
      </c>
      <c r="D461" s="20">
        <f>F461</f>
        <v>102.39226</v>
      </c>
      <c r="E461" s="20">
        <f>F461</f>
        <v>102.39226</v>
      </c>
      <c r="F461" s="20">
        <f>ROUND(102.392256699138,5)</f>
        <v>102.39226</v>
      </c>
      <c r="G461" s="19"/>
      <c r="H461" s="29"/>
    </row>
    <row r="462" spans="1:8" ht="12.75" customHeight="1">
      <c r="A462" s="31" t="s">
        <v>102</v>
      </c>
      <c r="B462" s="31"/>
      <c r="C462" s="18"/>
      <c r="D462" s="18"/>
      <c r="E462" s="18"/>
      <c r="F462" s="18"/>
      <c r="G462" s="19"/>
      <c r="H462" s="29"/>
    </row>
    <row r="463" spans="1:8" ht="12.75" customHeight="1">
      <c r="A463" s="31">
        <v>46097</v>
      </c>
      <c r="B463" s="31"/>
      <c r="C463" s="20">
        <f>ROUND(98.5119527322863,5)</f>
        <v>98.51195</v>
      </c>
      <c r="D463" s="20">
        <f>F463</f>
        <v>99.63124</v>
      </c>
      <c r="E463" s="20">
        <f>F463</f>
        <v>99.63124</v>
      </c>
      <c r="F463" s="20">
        <f>ROUND(99.6312388071252,5)</f>
        <v>99.63124</v>
      </c>
      <c r="G463" s="19"/>
      <c r="H463" s="29"/>
    </row>
    <row r="464" spans="1:8" ht="12.75" customHeight="1">
      <c r="A464" s="31" t="s">
        <v>103</v>
      </c>
      <c r="B464" s="31"/>
      <c r="C464" s="18"/>
      <c r="D464" s="18"/>
      <c r="E464" s="18"/>
      <c r="F464" s="18"/>
      <c r="G464" s="19"/>
      <c r="H464" s="29"/>
    </row>
    <row r="465" spans="1:8" ht="12.75" customHeight="1" thickBot="1">
      <c r="A465" s="32">
        <v>46188</v>
      </c>
      <c r="B465" s="32"/>
      <c r="C465" s="26">
        <f>ROUND(98.5119527322863,5)</f>
        <v>98.51195</v>
      </c>
      <c r="D465" s="26">
        <f>F465</f>
        <v>98.51195</v>
      </c>
      <c r="E465" s="26">
        <f>F465</f>
        <v>98.51195</v>
      </c>
      <c r="F465" s="26">
        <f>ROUND(98.5119527322863,5)</f>
        <v>98.51195</v>
      </c>
      <c r="G465" s="27"/>
      <c r="H465" s="30"/>
    </row>
  </sheetData>
  <sheetProtection/>
  <mergeCells count="46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2016-05-13T15:50:38Z</dcterms:modified>
  <cp:category/>
  <cp:version/>
  <cp:contentType/>
  <cp:contentStatus/>
</cp:coreProperties>
</file>