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'Jerry'!$A$1:$H$387</definedName>
  </definedNames>
  <calcPr fullCalcOnLoad="1"/>
</workbook>
</file>

<file path=xl/sharedStrings.xml><?xml version="1.0" encoding="utf-8"?>
<sst xmlns="http://schemas.openxmlformats.org/spreadsheetml/2006/main" count="86" uniqueCount="86">
  <si>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</si>
  <si>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</si>
  <si>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</si>
  <si>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</si>
  <si>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</si>
  <si>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</si>
  <si>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</si>
  <si>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</si>
  <si>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</si>
  <si>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</si>
  <si>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</si>
  <si>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</si>
  <si>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</si>
  <si>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</si>
  <si>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</si>
  <si>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</si>
  <si>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</si>
  <si>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</si>
  <si>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 (R186)</t>
  </si>
  <si>
    <t>R197 SPOT  (R197)</t>
  </si>
  <si>
    <t>R202 SPOT  (R202)</t>
  </si>
  <si>
    <t>R203 SPOT  (R203)</t>
  </si>
  <si>
    <t>R204 SPOT  (R204)</t>
  </si>
  <si>
    <t>R207 SPOT  (R207)</t>
  </si>
  <si>
    <t>R208 SPOT  (R208)</t>
  </si>
  <si>
    <t>R209 SPOT  (R209)</t>
  </si>
  <si>
    <t>R210 SPOT  (R210)</t>
  </si>
  <si>
    <t>R211 SPOT  (R211)</t>
  </si>
  <si>
    <t>R212 SPOT  (R212)</t>
  </si>
  <si>
    <t>R213 SPOT  (R213)</t>
  </si>
  <si>
    <t>2025 FUTURE  (2025)</t>
  </si>
  <si>
    <t>R2030 FUTURE  (2030)</t>
  </si>
  <si>
    <t>R2032 FUTURE  (2032)</t>
  </si>
  <si>
    <t>2033 FUTURE  (2033)</t>
  </si>
  <si>
    <t>R2037 FUTURE  (2037)</t>
  </si>
  <si>
    <t>2038 FUTURE  (2038)</t>
  </si>
  <si>
    <t>R2040 FUTURE  (2040)</t>
  </si>
  <si>
    <t>R2044 FUTURE  (2044)</t>
  </si>
  <si>
    <t>2046 FUTURE  (2046)</t>
  </si>
  <si>
    <t>2050 FUTURE  (2050)</t>
  </si>
  <si>
    <t>EL28 FUTURE  (EL28)</t>
  </si>
  <si>
    <t>ES33 FUTURE  (ES33)</t>
  </si>
  <si>
    <t>ES42 FUTURE  (ES42)</t>
  </si>
  <si>
    <t>Interest Rate Cando ICAA  (ICAA)</t>
  </si>
  <si>
    <t>R023 FUTURE  (R023)</t>
  </si>
  <si>
    <t>R035 FUTURE  (R035)</t>
  </si>
  <si>
    <t>R186 FUTURE  (R186)</t>
  </si>
  <si>
    <t>R197 FUTURE  (R197)</t>
  </si>
  <si>
    <t>R202 FUTURE  (R202)</t>
  </si>
  <si>
    <t>R203 FUTURE  (R203)</t>
  </si>
  <si>
    <t>R204 FUTURE  (R204)</t>
  </si>
  <si>
    <t>R207 FUTURE  (R207)</t>
  </si>
  <si>
    <t>R208 FUTURE  (R208)</t>
  </si>
  <si>
    <t>R209 FUTURE  (R209)</t>
  </si>
  <si>
    <t>R210 FUTURE  (R210)</t>
  </si>
  <si>
    <t>R211 FUTURE  (R211)</t>
  </si>
  <si>
    <t>R212 FUTURE  (R212)</t>
  </si>
  <si>
    <t>R213 FUTURE  (R213)</t>
  </si>
  <si>
    <t>R214 FUTURE  (R214)</t>
  </si>
  <si>
    <t>R248 FUTURE  (R248)</t>
  </si>
  <si>
    <t>Any Day DAEU  (DAEU)</t>
  </si>
  <si>
    <t>Any Day DAGB (DAGB)</t>
  </si>
  <si>
    <t>Any Day DAUS  (DAUS)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</si>
  <si>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</si>
  <si>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</si>
  <si>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</si>
  <si>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</si>
  <si>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</si>
  <si>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</si>
  <si>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</si>
  <si>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</si>
  <si>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</si>
  <si>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</si>
  <si>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Kenian Shilling (ZAKS)</t>
  </si>
  <si>
    <t>Rand / Nigerian Naira (ZANN)</t>
  </si>
  <si>
    <t>Turkish Lira / Rand (ZATR)</t>
  </si>
  <si>
    <t>Rand / Dollar Maxi  (ZAUM)</t>
  </si>
  <si>
    <t>US Dollar Rand (ZAUS)</t>
  </si>
  <si>
    <t>Rand / Zambian Kwacha (ZAZW)</t>
  </si>
  <si>
    <t>AL12  (AL12)</t>
  </si>
  <si>
    <t>AL37  (AL37)</t>
  </si>
  <si>
    <t>AL7T  (AL7T)</t>
  </si>
  <si>
    <t>ALBI  (ALBI)</t>
  </si>
  <si>
    <t>IGOV  (IGOV)</t>
  </si>
  <si>
    <t>ILBI  (ILBI)</t>
  </si>
  <si>
    <t>GOVI 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</si>
</sst>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zoomScaleSheetLayoutView="75" zoomScalePageLayoutView="0" workbookViewId="0" topLeftCell="A1">
      <selection activeCell="I6" sqref="I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42612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ROUND(1.87,3)</f>
        <v>1.87</v>
      </c>
      <c r="D6" s="26">
        <f>F6</f>
        <v>1.87</v>
      </c>
      <c r="E6" s="26">
        <f>F6</f>
        <v>1.87</v>
      </c>
      <c r="F6" s="26">
        <f>ROUND(1.87,3)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ROUND(1.87,3)</f>
        <v>1.87</v>
      </c>
      <c r="D8" s="26">
        <f>F8</f>
        <v>1.87</v>
      </c>
      <c r="E8" s="26">
        <f>F8</f>
        <v>1.87</v>
      </c>
      <c r="F8" s="26">
        <f>ROUND(1.87,3)</f>
        <v>1.87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ROUND(1.98,3)</f>
        <v>1.98</v>
      </c>
      <c r="D10" s="26">
        <f>F10</f>
        <v>1.98</v>
      </c>
      <c r="E10" s="26">
        <f>F10</f>
        <v>1.98</v>
      </c>
      <c r="F10" s="26">
        <f>ROUND(1.98,3)</f>
        <v>1.98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ROUND(2.4,3)</f>
        <v>2.4</v>
      </c>
      <c r="D12" s="26">
        <f>F12</f>
        <v>2.4</v>
      </c>
      <c r="E12" s="26">
        <f>F12</f>
        <v>2.4</v>
      </c>
      <c r="F12" s="26">
        <f>ROUND(2.4,3)</f>
        <v>2.4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ROUND(10.385,3)</f>
        <v>10.385</v>
      </c>
      <c r="D14" s="26">
        <f>F14</f>
        <v>10.385</v>
      </c>
      <c r="E14" s="26">
        <f>F14</f>
        <v>10.385</v>
      </c>
      <c r="F14" s="26">
        <f>ROUND(10.385,3)</f>
        <v>10.385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ROUND(8.58,3)</f>
        <v>8.58</v>
      </c>
      <c r="D16" s="26">
        <f>F16</f>
        <v>8.58</v>
      </c>
      <c r="E16" s="26">
        <f>F16</f>
        <v>8.58</v>
      </c>
      <c r="F16" s="26">
        <f>ROUND(8.58,3)</f>
        <v>8.58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6">
        <f>ROUND(8.915,3)</f>
        <v>8.915</v>
      </c>
      <c r="D18" s="26">
        <f>F18</f>
        <v>8.915</v>
      </c>
      <c r="E18" s="26">
        <f>F18</f>
        <v>8.915</v>
      </c>
      <c r="F18" s="26">
        <f>ROUND(8.915,3)</f>
        <v>8.915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6">
        <f>ROUND(1.79,3)</f>
        <v>1.79</v>
      </c>
      <c r="D20" s="26">
        <f>F20</f>
        <v>1.79</v>
      </c>
      <c r="E20" s="26">
        <f>F20</f>
        <v>1.79</v>
      </c>
      <c r="F20" s="26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6">
        <f>ROUND(1.92,3)</f>
        <v>1.92</v>
      </c>
      <c r="D22" s="26">
        <f>F22</f>
        <v>1.92</v>
      </c>
      <c r="E22" s="26">
        <f>F22</f>
        <v>1.92</v>
      </c>
      <c r="F22" s="26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6">
        <f>ROUND(7.67,3)</f>
        <v>7.67</v>
      </c>
      <c r="D24" s="26">
        <f>F24</f>
        <v>7.67</v>
      </c>
      <c r="E24" s="26">
        <f>F24</f>
        <v>7.67</v>
      </c>
      <c r="F24" s="26">
        <f>ROUND(7.67,3)</f>
        <v>7.67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6">
        <f>ROUND(7.895,3)</f>
        <v>7.895</v>
      </c>
      <c r="D26" s="26">
        <f>F26</f>
        <v>7.895</v>
      </c>
      <c r="E26" s="26">
        <f>F26</f>
        <v>7.895</v>
      </c>
      <c r="F26" s="26">
        <f>ROUND(7.895,3)</f>
        <v>7.895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6">
        <f>ROUND(8.21,3)</f>
        <v>8.21</v>
      </c>
      <c r="D28" s="26">
        <f>F28</f>
        <v>8.21</v>
      </c>
      <c r="E28" s="26">
        <f>F28</f>
        <v>8.21</v>
      </c>
      <c r="F28" s="26">
        <f>ROUND(8.21,3)</f>
        <v>8.21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6">
        <f>ROUND(8.33,3)</f>
        <v>8.33</v>
      </c>
      <c r="D30" s="26">
        <f>F30</f>
        <v>8.33</v>
      </c>
      <c r="E30" s="26">
        <f>F30</f>
        <v>8.33</v>
      </c>
      <c r="F30" s="26">
        <f>ROUND(8.33,3)</f>
        <v>8.33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6">
        <f>ROUND(9.415,3)</f>
        <v>9.415</v>
      </c>
      <c r="D32" s="26">
        <f>F32</f>
        <v>9.415</v>
      </c>
      <c r="E32" s="26">
        <f>F32</f>
        <v>9.415</v>
      </c>
      <c r="F32" s="26">
        <f>ROUND(9.415,3)</f>
        <v>9.415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6">
        <f>ROUND(1.89,3)</f>
        <v>1.89</v>
      </c>
      <c r="D34" s="26">
        <f>F34</f>
        <v>1.89</v>
      </c>
      <c r="E34" s="26">
        <f>F34</f>
        <v>1.89</v>
      </c>
      <c r="F34" s="26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ROUND(2.25,3)</f>
        <v>2.25</v>
      </c>
      <c r="D36" s="26">
        <f>F36</f>
        <v>2.25</v>
      </c>
      <c r="E36" s="26">
        <f>F36</f>
        <v>2.25</v>
      </c>
      <c r="F36" s="26">
        <f>ROUND(2.25,3)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6">
        <f>ROUND(1.79,3)</f>
        <v>1.79</v>
      </c>
      <c r="D38" s="26">
        <f>F38</f>
        <v>1.79</v>
      </c>
      <c r="E38" s="26">
        <f>F38</f>
        <v>1.79</v>
      </c>
      <c r="F38" s="26">
        <f>ROUND(1.79,3)</f>
        <v>1.79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6">
        <f>ROUND(9.292,3)</f>
        <v>9.292</v>
      </c>
      <c r="D40" s="26">
        <f>F40</f>
        <v>9.292</v>
      </c>
      <c r="E40" s="26">
        <f>F40</f>
        <v>9.292</v>
      </c>
      <c r="F40" s="26">
        <f>ROUND(9.292,3)</f>
        <v>9.292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7">
        <f>ROUND(1.87,5)</f>
        <v>1.87</v>
      </c>
      <c r="D42" s="27">
        <f>F42</f>
        <v>128.67976</v>
      </c>
      <c r="E42" s="27">
        <f>F42</f>
        <v>128.67976</v>
      </c>
      <c r="F42" s="27">
        <f>ROUND(128.67976,5)</f>
        <v>128.67976</v>
      </c>
      <c r="G42" s="24"/>
      <c r="H42" s="36"/>
    </row>
    <row r="43" spans="1:8" ht="12.75" customHeight="1">
      <c r="A43" s="22">
        <v>42768</v>
      </c>
      <c r="B43" s="22"/>
      <c r="C43" s="27">
        <f>ROUND(1.87,5)</f>
        <v>1.87</v>
      </c>
      <c r="D43" s="27">
        <f>F43</f>
        <v>129.89397</v>
      </c>
      <c r="E43" s="27">
        <f>F43</f>
        <v>129.89397</v>
      </c>
      <c r="F43" s="27">
        <f>ROUND(129.89397,5)</f>
        <v>129.89397</v>
      </c>
      <c r="G43" s="24"/>
      <c r="H43" s="36"/>
    </row>
    <row r="44" spans="1:8" ht="12.75" customHeight="1">
      <c r="A44" s="22">
        <v>42859</v>
      </c>
      <c r="B44" s="22"/>
      <c r="C44" s="27">
        <f>ROUND(1.87,5)</f>
        <v>1.87</v>
      </c>
      <c r="D44" s="27">
        <f>F44</f>
        <v>132.52771</v>
      </c>
      <c r="E44" s="27">
        <f>F44</f>
        <v>132.52771</v>
      </c>
      <c r="F44" s="27">
        <f>ROUND(132.52771,5)</f>
        <v>132.52771</v>
      </c>
      <c r="G44" s="24"/>
      <c r="H44" s="36"/>
    </row>
    <row r="45" spans="1:8" ht="12.75" customHeight="1">
      <c r="A45" s="22">
        <v>42950</v>
      </c>
      <c r="B45" s="22"/>
      <c r="C45" s="27">
        <f>ROUND(1.87,5)</f>
        <v>1.87</v>
      </c>
      <c r="D45" s="27">
        <f>F45</f>
        <v>133.99063</v>
      </c>
      <c r="E45" s="27">
        <f>F45</f>
        <v>133.99063</v>
      </c>
      <c r="F45" s="27">
        <f>ROUND(133.99063,5)</f>
        <v>133.99063</v>
      </c>
      <c r="G45" s="24"/>
      <c r="H45" s="36"/>
    </row>
    <row r="46" spans="1:8" ht="12.75" customHeight="1">
      <c r="A46" s="22">
        <v>43041</v>
      </c>
      <c r="B46" s="22"/>
      <c r="C46" s="27">
        <f>ROUND(1.87,5)</f>
        <v>1.87</v>
      </c>
      <c r="D46" s="27">
        <f>F46</f>
        <v>136.62864</v>
      </c>
      <c r="E46" s="27">
        <f>F46</f>
        <v>136.62864</v>
      </c>
      <c r="F46" s="27">
        <f>ROUND(136.62864,5)</f>
        <v>136.62864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7">
        <f>ROUND(9.275,5)</f>
        <v>9.275</v>
      </c>
      <c r="D48" s="27">
        <f>F48</f>
        <v>9.31191</v>
      </c>
      <c r="E48" s="27">
        <f>F48</f>
        <v>9.31191</v>
      </c>
      <c r="F48" s="27">
        <f>ROUND(9.31191,5)</f>
        <v>9.31191</v>
      </c>
      <c r="G48" s="24"/>
      <c r="H48" s="36"/>
    </row>
    <row r="49" spans="1:8" ht="12.75" customHeight="1">
      <c r="A49" s="22">
        <v>42768</v>
      </c>
      <c r="B49" s="22"/>
      <c r="C49" s="27">
        <f>ROUND(9.275,5)</f>
        <v>9.275</v>
      </c>
      <c r="D49" s="27">
        <f>F49</f>
        <v>9.3574</v>
      </c>
      <c r="E49" s="27">
        <f>F49</f>
        <v>9.3574</v>
      </c>
      <c r="F49" s="27">
        <f>ROUND(9.3574,5)</f>
        <v>9.3574</v>
      </c>
      <c r="G49" s="24"/>
      <c r="H49" s="36"/>
    </row>
    <row r="50" spans="1:8" ht="12.75" customHeight="1">
      <c r="A50" s="22">
        <v>42859</v>
      </c>
      <c r="B50" s="22"/>
      <c r="C50" s="27">
        <f>ROUND(9.275,5)</f>
        <v>9.275</v>
      </c>
      <c r="D50" s="27">
        <f>F50</f>
        <v>9.39735</v>
      </c>
      <c r="E50" s="27">
        <f>F50</f>
        <v>9.39735</v>
      </c>
      <c r="F50" s="27">
        <f>ROUND(9.39735,5)</f>
        <v>9.39735</v>
      </c>
      <c r="G50" s="24"/>
      <c r="H50" s="36"/>
    </row>
    <row r="51" spans="1:8" ht="12.75" customHeight="1">
      <c r="A51" s="22">
        <v>42950</v>
      </c>
      <c r="B51" s="22"/>
      <c r="C51" s="27">
        <f>ROUND(9.275,5)</f>
        <v>9.275</v>
      </c>
      <c r="D51" s="27">
        <f>F51</f>
        <v>9.42752</v>
      </c>
      <c r="E51" s="27">
        <f>F51</f>
        <v>9.42752</v>
      </c>
      <c r="F51" s="27">
        <f>ROUND(9.42752,5)</f>
        <v>9.42752</v>
      </c>
      <c r="G51" s="24"/>
      <c r="H51" s="36"/>
    </row>
    <row r="52" spans="1:8" ht="12.75" customHeight="1">
      <c r="A52" s="22">
        <v>43041</v>
      </c>
      <c r="B52" s="22"/>
      <c r="C52" s="27">
        <f>ROUND(9.275,5)</f>
        <v>9.275</v>
      </c>
      <c r="D52" s="27">
        <f>F52</f>
        <v>9.46839</v>
      </c>
      <c r="E52" s="27">
        <f>F52</f>
        <v>9.46839</v>
      </c>
      <c r="F52" s="27">
        <f>ROUND(9.46839,5)</f>
        <v>9.46839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7">
        <f>ROUND(9.375,5)</f>
        <v>9.375</v>
      </c>
      <c r="D54" s="27">
        <f>F54</f>
        <v>9.41377</v>
      </c>
      <c r="E54" s="27">
        <f>F54</f>
        <v>9.41377</v>
      </c>
      <c r="F54" s="27">
        <f>ROUND(9.41377,5)</f>
        <v>9.41377</v>
      </c>
      <c r="G54" s="24"/>
      <c r="H54" s="36"/>
    </row>
    <row r="55" spans="1:8" ht="12.75" customHeight="1">
      <c r="A55" s="22">
        <v>42768</v>
      </c>
      <c r="B55" s="22"/>
      <c r="C55" s="27">
        <f>ROUND(9.375,5)</f>
        <v>9.375</v>
      </c>
      <c r="D55" s="27">
        <f>F55</f>
        <v>9.46174</v>
      </c>
      <c r="E55" s="27">
        <f>F55</f>
        <v>9.46174</v>
      </c>
      <c r="F55" s="27">
        <f>ROUND(9.46174,5)</f>
        <v>9.46174</v>
      </c>
      <c r="G55" s="24"/>
      <c r="H55" s="36"/>
    </row>
    <row r="56" spans="1:8" ht="12.75" customHeight="1">
      <c r="A56" s="22">
        <v>42859</v>
      </c>
      <c r="B56" s="22"/>
      <c r="C56" s="27">
        <f>ROUND(9.375,5)</f>
        <v>9.375</v>
      </c>
      <c r="D56" s="27">
        <f>F56</f>
        <v>9.5005</v>
      </c>
      <c r="E56" s="27">
        <f>F56</f>
        <v>9.5005</v>
      </c>
      <c r="F56" s="27">
        <f>ROUND(9.5005,5)</f>
        <v>9.5005</v>
      </c>
      <c r="G56" s="24"/>
      <c r="H56" s="36"/>
    </row>
    <row r="57" spans="1:8" ht="12.75" customHeight="1">
      <c r="A57" s="22">
        <v>42950</v>
      </c>
      <c r="B57" s="22"/>
      <c r="C57" s="27">
        <f>ROUND(9.375,5)</f>
        <v>9.375</v>
      </c>
      <c r="D57" s="27">
        <f>F57</f>
        <v>9.52853</v>
      </c>
      <c r="E57" s="27">
        <f>F57</f>
        <v>9.52853</v>
      </c>
      <c r="F57" s="27">
        <f>ROUND(9.52853,5)</f>
        <v>9.52853</v>
      </c>
      <c r="G57" s="24"/>
      <c r="H57" s="36"/>
    </row>
    <row r="58" spans="1:8" ht="12.75" customHeight="1">
      <c r="A58" s="22">
        <v>43041</v>
      </c>
      <c r="B58" s="22"/>
      <c r="C58" s="27">
        <f>ROUND(9.375,5)</f>
        <v>9.375</v>
      </c>
      <c r="D58" s="27">
        <f>F58</f>
        <v>9.57232</v>
      </c>
      <c r="E58" s="27">
        <f>F58</f>
        <v>9.57232</v>
      </c>
      <c r="F58" s="27">
        <f>ROUND(9.57232,5)</f>
        <v>9.57232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7">
        <f>ROUND(106.26577,5)</f>
        <v>106.26577</v>
      </c>
      <c r="D60" s="27">
        <f>F60</f>
        <v>107.73732</v>
      </c>
      <c r="E60" s="27">
        <f>F60</f>
        <v>107.73732</v>
      </c>
      <c r="F60" s="27">
        <f>ROUND(107.73732,5)</f>
        <v>107.73732</v>
      </c>
      <c r="G60" s="24"/>
      <c r="H60" s="36"/>
    </row>
    <row r="61" spans="1:8" ht="12.75" customHeight="1">
      <c r="A61" s="22">
        <v>42768</v>
      </c>
      <c r="B61" s="22"/>
      <c r="C61" s="27">
        <f>ROUND(106.26577,5)</f>
        <v>106.26577</v>
      </c>
      <c r="D61" s="27">
        <f>F61</f>
        <v>109.8308</v>
      </c>
      <c r="E61" s="27">
        <f>F61</f>
        <v>109.8308</v>
      </c>
      <c r="F61" s="27">
        <f>ROUND(109.8308,5)</f>
        <v>109.8308</v>
      </c>
      <c r="G61" s="24"/>
      <c r="H61" s="36"/>
    </row>
    <row r="62" spans="1:8" ht="12.75" customHeight="1">
      <c r="A62" s="22">
        <v>42859</v>
      </c>
      <c r="B62" s="22"/>
      <c r="C62" s="27">
        <f>ROUND(106.26577,5)</f>
        <v>106.26577</v>
      </c>
      <c r="D62" s="27">
        <f>F62</f>
        <v>111.01257</v>
      </c>
      <c r="E62" s="27">
        <f>F62</f>
        <v>111.01257</v>
      </c>
      <c r="F62" s="27">
        <f>ROUND(111.01257,5)</f>
        <v>111.01257</v>
      </c>
      <c r="G62" s="24"/>
      <c r="H62" s="36"/>
    </row>
    <row r="63" spans="1:8" ht="12.75" customHeight="1">
      <c r="A63" s="22">
        <v>42950</v>
      </c>
      <c r="B63" s="22"/>
      <c r="C63" s="27">
        <f>ROUND(106.26577,5)</f>
        <v>106.26577</v>
      </c>
      <c r="D63" s="27">
        <f>F63</f>
        <v>113.35986</v>
      </c>
      <c r="E63" s="27">
        <f>F63</f>
        <v>113.35986</v>
      </c>
      <c r="F63" s="27">
        <f>ROUND(113.35986,5)</f>
        <v>113.35986</v>
      </c>
      <c r="G63" s="24"/>
      <c r="H63" s="36"/>
    </row>
    <row r="64" spans="1:8" ht="12.75" customHeight="1">
      <c r="A64" s="22">
        <v>43041</v>
      </c>
      <c r="B64" s="22"/>
      <c r="C64" s="27">
        <f>ROUND(106.26577,5)</f>
        <v>106.26577</v>
      </c>
      <c r="D64" s="27">
        <f>F64</f>
        <v>114.50582</v>
      </c>
      <c r="E64" s="27">
        <f>F64</f>
        <v>114.50582</v>
      </c>
      <c r="F64" s="27">
        <f>ROUND(114.50582,5)</f>
        <v>114.50582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7">
        <f>ROUND(9.525,5)</f>
        <v>9.525</v>
      </c>
      <c r="D66" s="27">
        <f>F66</f>
        <v>9.5615</v>
      </c>
      <c r="E66" s="27">
        <f>F66</f>
        <v>9.5615</v>
      </c>
      <c r="F66" s="27">
        <f>ROUND(9.5615,5)</f>
        <v>9.5615</v>
      </c>
      <c r="G66" s="24"/>
      <c r="H66" s="36"/>
    </row>
    <row r="67" spans="1:8" ht="12.75" customHeight="1">
      <c r="A67" s="22">
        <v>42768</v>
      </c>
      <c r="B67" s="22"/>
      <c r="C67" s="27">
        <f>ROUND(9.525,5)</f>
        <v>9.525</v>
      </c>
      <c r="D67" s="27">
        <f>F67</f>
        <v>9.60713</v>
      </c>
      <c r="E67" s="27">
        <f>F67</f>
        <v>9.60713</v>
      </c>
      <c r="F67" s="27">
        <f>ROUND(9.60713,5)</f>
        <v>9.60713</v>
      </c>
      <c r="G67" s="24"/>
      <c r="H67" s="36"/>
    </row>
    <row r="68" spans="1:8" ht="12.75" customHeight="1">
      <c r="A68" s="22">
        <v>42859</v>
      </c>
      <c r="B68" s="22"/>
      <c r="C68" s="27">
        <f>ROUND(9.525,5)</f>
        <v>9.525</v>
      </c>
      <c r="D68" s="27">
        <f>F68</f>
        <v>9.64783</v>
      </c>
      <c r="E68" s="27">
        <f>F68</f>
        <v>9.64783</v>
      </c>
      <c r="F68" s="27">
        <f>ROUND(9.64783,5)</f>
        <v>9.64783</v>
      </c>
      <c r="G68" s="24"/>
      <c r="H68" s="36"/>
    </row>
    <row r="69" spans="1:8" ht="12.75" customHeight="1">
      <c r="A69" s="22">
        <v>42950</v>
      </c>
      <c r="B69" s="22"/>
      <c r="C69" s="27">
        <f>ROUND(9.525,5)</f>
        <v>9.525</v>
      </c>
      <c r="D69" s="27">
        <f>F69</f>
        <v>9.68031</v>
      </c>
      <c r="E69" s="27">
        <f>F69</f>
        <v>9.68031</v>
      </c>
      <c r="F69" s="27">
        <f>ROUND(9.68031,5)</f>
        <v>9.68031</v>
      </c>
      <c r="G69" s="24"/>
      <c r="H69" s="36"/>
    </row>
    <row r="70" spans="1:8" ht="12.75" customHeight="1">
      <c r="A70" s="22">
        <v>43041</v>
      </c>
      <c r="B70" s="22"/>
      <c r="C70" s="27">
        <f>ROUND(9.525,5)</f>
        <v>9.525</v>
      </c>
      <c r="D70" s="27">
        <f>F70</f>
        <v>9.72149</v>
      </c>
      <c r="E70" s="27">
        <f>F70</f>
        <v>9.72149</v>
      </c>
      <c r="F70" s="27">
        <f>ROUND(9.72149,5)</f>
        <v>9.72149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7">
        <f>ROUND(1.87,5)</f>
        <v>1.87</v>
      </c>
      <c r="D72" s="27">
        <f>F72</f>
        <v>135.92112</v>
      </c>
      <c r="E72" s="27">
        <f>F72</f>
        <v>135.92112</v>
      </c>
      <c r="F72" s="27">
        <f>ROUND(135.92112,5)</f>
        <v>135.92112</v>
      </c>
      <c r="G72" s="24"/>
      <c r="H72" s="36"/>
    </row>
    <row r="73" spans="1:8" ht="12.75" customHeight="1">
      <c r="A73" s="22">
        <v>42768</v>
      </c>
      <c r="B73" s="22"/>
      <c r="C73" s="27">
        <f>ROUND(1.87,5)</f>
        <v>1.87</v>
      </c>
      <c r="D73" s="27">
        <f>F73</f>
        <v>137.11506</v>
      </c>
      <c r="E73" s="27">
        <f>F73</f>
        <v>137.11506</v>
      </c>
      <c r="F73" s="27">
        <f>ROUND(137.11506,5)</f>
        <v>137.11506</v>
      </c>
      <c r="G73" s="24"/>
      <c r="H73" s="36"/>
    </row>
    <row r="74" spans="1:8" ht="12.75" customHeight="1">
      <c r="A74" s="22">
        <v>42859</v>
      </c>
      <c r="B74" s="22"/>
      <c r="C74" s="27">
        <f>ROUND(1.87,5)</f>
        <v>1.87</v>
      </c>
      <c r="D74" s="27">
        <f>F74</f>
        <v>139.89523</v>
      </c>
      <c r="E74" s="27">
        <f>F74</f>
        <v>139.89523</v>
      </c>
      <c r="F74" s="27">
        <f>ROUND(139.89523,5)</f>
        <v>139.89523</v>
      </c>
      <c r="G74" s="24"/>
      <c r="H74" s="36"/>
    </row>
    <row r="75" spans="1:8" ht="12.75" customHeight="1">
      <c r="A75" s="22">
        <v>42950</v>
      </c>
      <c r="B75" s="22"/>
      <c r="C75" s="27">
        <f>ROUND(1.87,5)</f>
        <v>1.87</v>
      </c>
      <c r="D75" s="27">
        <f>F75</f>
        <v>141.34674</v>
      </c>
      <c r="E75" s="27">
        <f>F75</f>
        <v>141.34674</v>
      </c>
      <c r="F75" s="27">
        <f>ROUND(141.34674,5)</f>
        <v>141.34674</v>
      </c>
      <c r="G75" s="24"/>
      <c r="H75" s="36"/>
    </row>
    <row r="76" spans="1:8" ht="12.75" customHeight="1">
      <c r="A76" s="22">
        <v>43041</v>
      </c>
      <c r="B76" s="22"/>
      <c r="C76" s="27">
        <f>ROUND(1.87,5)</f>
        <v>1.87</v>
      </c>
      <c r="D76" s="27">
        <f>F76</f>
        <v>144.12937</v>
      </c>
      <c r="E76" s="27">
        <f>F76</f>
        <v>144.12937</v>
      </c>
      <c r="F76" s="27">
        <f>ROUND(144.12937,5)</f>
        <v>144.12937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7">
        <f>ROUND(9.545,5)</f>
        <v>9.545</v>
      </c>
      <c r="D78" s="27">
        <f>F78</f>
        <v>9.58082</v>
      </c>
      <c r="E78" s="27">
        <f>F78</f>
        <v>9.58082</v>
      </c>
      <c r="F78" s="27">
        <f>ROUND(9.58082,5)</f>
        <v>9.58082</v>
      </c>
      <c r="G78" s="24"/>
      <c r="H78" s="36"/>
    </row>
    <row r="79" spans="1:8" ht="12.75" customHeight="1">
      <c r="A79" s="22">
        <v>42768</v>
      </c>
      <c r="B79" s="22"/>
      <c r="C79" s="27">
        <f>ROUND(9.545,5)</f>
        <v>9.545</v>
      </c>
      <c r="D79" s="27">
        <f>F79</f>
        <v>9.62561</v>
      </c>
      <c r="E79" s="27">
        <f>F79</f>
        <v>9.62561</v>
      </c>
      <c r="F79" s="27">
        <f>ROUND(9.62561,5)</f>
        <v>9.62561</v>
      </c>
      <c r="G79" s="24"/>
      <c r="H79" s="36"/>
    </row>
    <row r="80" spans="1:8" ht="12.75" customHeight="1">
      <c r="A80" s="22">
        <v>42859</v>
      </c>
      <c r="B80" s="22"/>
      <c r="C80" s="27">
        <f>ROUND(9.545,5)</f>
        <v>9.545</v>
      </c>
      <c r="D80" s="27">
        <f>F80</f>
        <v>9.66555</v>
      </c>
      <c r="E80" s="27">
        <f>F80</f>
        <v>9.66555</v>
      </c>
      <c r="F80" s="27">
        <f>ROUND(9.66555,5)</f>
        <v>9.66555</v>
      </c>
      <c r="G80" s="24"/>
      <c r="H80" s="36"/>
    </row>
    <row r="81" spans="1:8" ht="12.75" customHeight="1">
      <c r="A81" s="22">
        <v>42950</v>
      </c>
      <c r="B81" s="22"/>
      <c r="C81" s="27">
        <f>ROUND(9.545,5)</f>
        <v>9.545</v>
      </c>
      <c r="D81" s="27">
        <f>F81</f>
        <v>9.69749</v>
      </c>
      <c r="E81" s="27">
        <f>F81</f>
        <v>9.69749</v>
      </c>
      <c r="F81" s="27">
        <f>ROUND(9.69749,5)</f>
        <v>9.69749</v>
      </c>
      <c r="G81" s="24"/>
      <c r="H81" s="36"/>
    </row>
    <row r="82" spans="1:8" ht="12.75" customHeight="1">
      <c r="A82" s="22">
        <v>43041</v>
      </c>
      <c r="B82" s="22"/>
      <c r="C82" s="27">
        <f>ROUND(9.545,5)</f>
        <v>9.545</v>
      </c>
      <c r="D82" s="27">
        <f>F82</f>
        <v>9.73779</v>
      </c>
      <c r="E82" s="27">
        <f>F82</f>
        <v>9.73779</v>
      </c>
      <c r="F82" s="27">
        <f>ROUND(9.73779,5)</f>
        <v>9.73779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7">
        <f>ROUND(9.575,5)</f>
        <v>9.575</v>
      </c>
      <c r="D84" s="27">
        <f>F84</f>
        <v>9.60998</v>
      </c>
      <c r="E84" s="27">
        <f>F84</f>
        <v>9.60998</v>
      </c>
      <c r="F84" s="27">
        <f>ROUND(9.60998,5)</f>
        <v>9.60998</v>
      </c>
      <c r="G84" s="24"/>
      <c r="H84" s="36"/>
    </row>
    <row r="85" spans="1:8" ht="12.75" customHeight="1">
      <c r="A85" s="22">
        <v>42768</v>
      </c>
      <c r="B85" s="22"/>
      <c r="C85" s="27">
        <f>ROUND(9.575,5)</f>
        <v>9.575</v>
      </c>
      <c r="D85" s="27">
        <f>F85</f>
        <v>9.65374</v>
      </c>
      <c r="E85" s="27">
        <f>F85</f>
        <v>9.65374</v>
      </c>
      <c r="F85" s="27">
        <f>ROUND(9.65374,5)</f>
        <v>9.65374</v>
      </c>
      <c r="G85" s="24"/>
      <c r="H85" s="36"/>
    </row>
    <row r="86" spans="1:8" ht="12.75" customHeight="1">
      <c r="A86" s="22">
        <v>42859</v>
      </c>
      <c r="B86" s="22"/>
      <c r="C86" s="27">
        <f>ROUND(9.575,5)</f>
        <v>9.575</v>
      </c>
      <c r="D86" s="27">
        <f>F86</f>
        <v>9.69277</v>
      </c>
      <c r="E86" s="27">
        <f>F86</f>
        <v>9.69277</v>
      </c>
      <c r="F86" s="27">
        <f>ROUND(9.69277,5)</f>
        <v>9.69277</v>
      </c>
      <c r="G86" s="24"/>
      <c r="H86" s="36"/>
    </row>
    <row r="87" spans="1:8" ht="12.75" customHeight="1">
      <c r="A87" s="22">
        <v>42950</v>
      </c>
      <c r="B87" s="22"/>
      <c r="C87" s="27">
        <f>ROUND(9.575,5)</f>
        <v>9.575</v>
      </c>
      <c r="D87" s="27">
        <f>F87</f>
        <v>9.72411</v>
      </c>
      <c r="E87" s="27">
        <f>F87</f>
        <v>9.72411</v>
      </c>
      <c r="F87" s="27">
        <f>ROUND(9.72411,5)</f>
        <v>9.72411</v>
      </c>
      <c r="G87" s="24"/>
      <c r="H87" s="36"/>
    </row>
    <row r="88" spans="1:8" ht="12.75" customHeight="1">
      <c r="A88" s="22">
        <v>43041</v>
      </c>
      <c r="B88" s="22"/>
      <c r="C88" s="27">
        <f>ROUND(9.575,5)</f>
        <v>9.575</v>
      </c>
      <c r="D88" s="27">
        <f>F88</f>
        <v>9.7634</v>
      </c>
      <c r="E88" s="27">
        <f>F88</f>
        <v>9.7634</v>
      </c>
      <c r="F88" s="27">
        <f>ROUND(9.7634,5)</f>
        <v>9.7634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7">
        <f>ROUND(132.90464,5)</f>
        <v>132.90464</v>
      </c>
      <c r="D90" s="27">
        <f>F90</f>
        <v>133.24735</v>
      </c>
      <c r="E90" s="27">
        <f>F90</f>
        <v>133.24735</v>
      </c>
      <c r="F90" s="27">
        <f>ROUND(133.24735,5)</f>
        <v>133.24735</v>
      </c>
      <c r="G90" s="24"/>
      <c r="H90" s="36"/>
    </row>
    <row r="91" spans="1:8" ht="12.75" customHeight="1">
      <c r="A91" s="22">
        <v>42768</v>
      </c>
      <c r="B91" s="22"/>
      <c r="C91" s="27">
        <f>ROUND(132.90464,5)</f>
        <v>132.90464</v>
      </c>
      <c r="D91" s="27">
        <f>F91</f>
        <v>135.83666</v>
      </c>
      <c r="E91" s="27">
        <f>F91</f>
        <v>135.83666</v>
      </c>
      <c r="F91" s="27">
        <f>ROUND(135.83666,5)</f>
        <v>135.83666</v>
      </c>
      <c r="G91" s="24"/>
      <c r="H91" s="36"/>
    </row>
    <row r="92" spans="1:8" ht="12.75" customHeight="1">
      <c r="A92" s="22">
        <v>42859</v>
      </c>
      <c r="B92" s="22"/>
      <c r="C92" s="27">
        <f>ROUND(132.90464,5)</f>
        <v>132.90464</v>
      </c>
      <c r="D92" s="27">
        <f>F92</f>
        <v>137.05443</v>
      </c>
      <c r="E92" s="27">
        <f>F92</f>
        <v>137.05443</v>
      </c>
      <c r="F92" s="27">
        <f>ROUND(137.05443,5)</f>
        <v>137.05443</v>
      </c>
      <c r="G92" s="24"/>
      <c r="H92" s="36"/>
    </row>
    <row r="93" spans="1:8" ht="12.75" customHeight="1">
      <c r="A93" s="22">
        <v>42950</v>
      </c>
      <c r="B93" s="22"/>
      <c r="C93" s="27">
        <f>ROUND(132.90464,5)</f>
        <v>132.90464</v>
      </c>
      <c r="D93" s="27">
        <f>F93</f>
        <v>139.95265</v>
      </c>
      <c r="E93" s="27">
        <f>F93</f>
        <v>139.95265</v>
      </c>
      <c r="F93" s="27">
        <f>ROUND(139.95265,5)</f>
        <v>139.95265</v>
      </c>
      <c r="G93" s="24"/>
      <c r="H93" s="36"/>
    </row>
    <row r="94" spans="1:8" ht="12.75" customHeight="1">
      <c r="A94" s="22">
        <v>43041</v>
      </c>
      <c r="B94" s="22"/>
      <c r="C94" s="27">
        <f>ROUND(132.90464,5)</f>
        <v>132.90464</v>
      </c>
      <c r="D94" s="27">
        <f>F94</f>
        <v>141.10849</v>
      </c>
      <c r="E94" s="27">
        <f>F94</f>
        <v>141.10849</v>
      </c>
      <c r="F94" s="27">
        <f>ROUND(141.10849,5)</f>
        <v>141.10849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7">
        <f>ROUND(1.98,5)</f>
        <v>1.98</v>
      </c>
      <c r="D96" s="27">
        <f>F96</f>
        <v>144.00578</v>
      </c>
      <c r="E96" s="27">
        <f>F96</f>
        <v>144.00578</v>
      </c>
      <c r="F96" s="27">
        <f>ROUND(144.00578,5)</f>
        <v>144.00578</v>
      </c>
      <c r="G96" s="24"/>
      <c r="H96" s="36"/>
    </row>
    <row r="97" spans="1:8" ht="12.75" customHeight="1">
      <c r="A97" s="22">
        <v>42768</v>
      </c>
      <c r="B97" s="22"/>
      <c r="C97" s="27">
        <f>ROUND(1.98,5)</f>
        <v>1.98</v>
      </c>
      <c r="D97" s="27">
        <f>F97</f>
        <v>145.19372</v>
      </c>
      <c r="E97" s="27">
        <f>F97</f>
        <v>145.19372</v>
      </c>
      <c r="F97" s="27">
        <f>ROUND(145.19372,5)</f>
        <v>145.19372</v>
      </c>
      <c r="G97" s="24"/>
      <c r="H97" s="36"/>
    </row>
    <row r="98" spans="1:8" ht="12.75" customHeight="1">
      <c r="A98" s="22">
        <v>42859</v>
      </c>
      <c r="B98" s="22"/>
      <c r="C98" s="27">
        <f>ROUND(1.98,5)</f>
        <v>1.98</v>
      </c>
      <c r="D98" s="27">
        <f>F98</f>
        <v>148.13777</v>
      </c>
      <c r="E98" s="27">
        <f>F98</f>
        <v>148.13777</v>
      </c>
      <c r="F98" s="27">
        <f>ROUND(148.13777,5)</f>
        <v>148.13777</v>
      </c>
      <c r="G98" s="24"/>
      <c r="H98" s="36"/>
    </row>
    <row r="99" spans="1:8" ht="12.75" customHeight="1">
      <c r="A99" s="22">
        <v>42950</v>
      </c>
      <c r="B99" s="22"/>
      <c r="C99" s="27">
        <f>ROUND(1.98,5)</f>
        <v>1.98</v>
      </c>
      <c r="D99" s="27">
        <f>F99</f>
        <v>149.59955</v>
      </c>
      <c r="E99" s="27">
        <f>F99</f>
        <v>149.59955</v>
      </c>
      <c r="F99" s="27">
        <f>ROUND(149.59955,5)</f>
        <v>149.59955</v>
      </c>
      <c r="G99" s="24"/>
      <c r="H99" s="36"/>
    </row>
    <row r="100" spans="1:8" ht="12.75" customHeight="1">
      <c r="A100" s="22">
        <v>43041</v>
      </c>
      <c r="B100" s="22"/>
      <c r="C100" s="27">
        <f>ROUND(1.98,5)</f>
        <v>1.98</v>
      </c>
      <c r="D100" s="27">
        <f>F100</f>
        <v>152.54485</v>
      </c>
      <c r="E100" s="27">
        <f>F100</f>
        <v>152.54485</v>
      </c>
      <c r="F100" s="27">
        <f>ROUND(152.54485,5)</f>
        <v>152.54485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7">
        <f>ROUND(2.4,5)</f>
        <v>2.4</v>
      </c>
      <c r="D102" s="27">
        <f>F102</f>
        <v>130.71485</v>
      </c>
      <c r="E102" s="27">
        <f>F102</f>
        <v>130.71485</v>
      </c>
      <c r="F102" s="27">
        <f>ROUND(130.71485,5)</f>
        <v>130.71485</v>
      </c>
      <c r="G102" s="24"/>
      <c r="H102" s="36"/>
    </row>
    <row r="103" spans="1:8" ht="12.75" customHeight="1">
      <c r="A103" s="22">
        <v>42677</v>
      </c>
      <c r="B103" s="22"/>
      <c r="C103" s="27">
        <f>ROUND(2.4,5)</f>
        <v>2.4</v>
      </c>
      <c r="D103" s="27">
        <f>F103</f>
        <v>130.71485</v>
      </c>
      <c r="E103" s="27">
        <f>F103</f>
        <v>130.71485</v>
      </c>
      <c r="F103" s="27">
        <f>ROUND(130.71485,5)</f>
        <v>130.71485</v>
      </c>
      <c r="G103" s="24"/>
      <c r="H103" s="36"/>
    </row>
    <row r="104" spans="1:8" ht="12.75" customHeight="1">
      <c r="A104" s="22">
        <v>42768</v>
      </c>
      <c r="B104" s="22"/>
      <c r="C104" s="27">
        <f>ROUND(2.4,5)</f>
        <v>2.4</v>
      </c>
      <c r="D104" s="27">
        <f>F104</f>
        <v>133.25493</v>
      </c>
      <c r="E104" s="27">
        <f>F104</f>
        <v>133.25493</v>
      </c>
      <c r="F104" s="27">
        <f>ROUND(133.25493,5)</f>
        <v>133.25493</v>
      </c>
      <c r="G104" s="24"/>
      <c r="H104" s="36"/>
    </row>
    <row r="105" spans="1:8" ht="12.75" customHeight="1">
      <c r="A105" s="22">
        <v>42768</v>
      </c>
      <c r="B105" s="22"/>
      <c r="C105" s="27">
        <f>ROUND(2.4,5)</f>
        <v>2.4</v>
      </c>
      <c r="D105" s="27">
        <f>F105</f>
        <v>133.25493</v>
      </c>
      <c r="E105" s="27">
        <f>F105</f>
        <v>133.25493</v>
      </c>
      <c r="F105" s="27">
        <f>ROUND(133.25493,5)</f>
        <v>133.25493</v>
      </c>
      <c r="G105" s="24"/>
      <c r="H105" s="36"/>
    </row>
    <row r="106" spans="1:8" ht="12.75" customHeight="1">
      <c r="A106" s="22">
        <v>42859</v>
      </c>
      <c r="B106" s="22"/>
      <c r="C106" s="27">
        <f>ROUND(2.4,5)</f>
        <v>2.4</v>
      </c>
      <c r="D106" s="27">
        <f>F106</f>
        <v>134.26617</v>
      </c>
      <c r="E106" s="27">
        <f>F106</f>
        <v>134.26617</v>
      </c>
      <c r="F106" s="27">
        <f>ROUND(134.26617,5)</f>
        <v>134.26617</v>
      </c>
      <c r="G106" s="24"/>
      <c r="H106" s="36"/>
    </row>
    <row r="107" spans="1:8" ht="12.75" customHeight="1">
      <c r="A107" s="22">
        <v>42859</v>
      </c>
      <c r="B107" s="22"/>
      <c r="C107" s="27">
        <f>ROUND(2.4,5)</f>
        <v>2.4</v>
      </c>
      <c r="D107" s="27">
        <f>F107</f>
        <v>134.26617</v>
      </c>
      <c r="E107" s="27">
        <f>F107</f>
        <v>134.26617</v>
      </c>
      <c r="F107" s="27">
        <f>ROUND(134.26617,5)</f>
        <v>134.26617</v>
      </c>
      <c r="G107" s="24"/>
      <c r="H107" s="36"/>
    </row>
    <row r="108" spans="1:8" ht="12.75" customHeight="1">
      <c r="A108" s="22">
        <v>42950</v>
      </c>
      <c r="B108" s="22"/>
      <c r="C108" s="27">
        <f>ROUND(2.4,5)</f>
        <v>2.4</v>
      </c>
      <c r="D108" s="27">
        <f>F108</f>
        <v>137.10577</v>
      </c>
      <c r="E108" s="27">
        <f>F108</f>
        <v>137.10577</v>
      </c>
      <c r="F108" s="27">
        <f>ROUND(137.10577,5)</f>
        <v>137.10577</v>
      </c>
      <c r="G108" s="24"/>
      <c r="H108" s="36"/>
    </row>
    <row r="109" spans="1:8" ht="12.75" customHeight="1">
      <c r="A109" s="22">
        <v>42950</v>
      </c>
      <c r="B109" s="22"/>
      <c r="C109" s="27">
        <f>ROUND(2.4,5)</f>
        <v>2.4</v>
      </c>
      <c r="D109" s="27">
        <f>F109</f>
        <v>137.10577</v>
      </c>
      <c r="E109" s="27">
        <f>F109</f>
        <v>137.10577</v>
      </c>
      <c r="F109" s="27">
        <f>ROUND(137.10577,5)</f>
        <v>137.10577</v>
      </c>
      <c r="G109" s="24"/>
      <c r="H109" s="36"/>
    </row>
    <row r="110" spans="1:8" ht="12.75" customHeight="1">
      <c r="A110" s="22">
        <v>43041</v>
      </c>
      <c r="B110" s="22"/>
      <c r="C110" s="27">
        <f>ROUND(2.4,5)</f>
        <v>2.4</v>
      </c>
      <c r="D110" s="27">
        <f>F110</f>
        <v>139.80557</v>
      </c>
      <c r="E110" s="27">
        <f>F110</f>
        <v>139.80557</v>
      </c>
      <c r="F110" s="27">
        <f>ROUND(139.80557,5)</f>
        <v>139.80557</v>
      </c>
      <c r="G110" s="24"/>
      <c r="H110" s="36"/>
    </row>
    <row r="111" spans="1:8" ht="12.75" customHeight="1">
      <c r="A111" s="22">
        <v>43041</v>
      </c>
      <c r="B111" s="22"/>
      <c r="C111" s="27">
        <f>ROUND(2.4,5)</f>
        <v>2.4</v>
      </c>
      <c r="D111" s="27">
        <f>F111</f>
        <v>139.80557</v>
      </c>
      <c r="E111" s="27">
        <f>F111</f>
        <v>139.80557</v>
      </c>
      <c r="F111" s="27">
        <f>ROUND(139.80557,5)</f>
        <v>139.80557</v>
      </c>
      <c r="G111" s="24"/>
      <c r="H111" s="36"/>
    </row>
    <row r="112" spans="1:8" ht="12.75" customHeight="1">
      <c r="A112" s="22" t="s">
        <v>41</v>
      </c>
      <c r="B112" s="22"/>
      <c r="C112" s="25"/>
      <c r="D112" s="25"/>
      <c r="E112" s="25"/>
      <c r="F112" s="25"/>
      <c r="G112" s="24"/>
      <c r="H112" s="36"/>
    </row>
    <row r="113" spans="1:8" ht="12.75" customHeight="1">
      <c r="A113" s="22">
        <v>42677</v>
      </c>
      <c r="B113" s="22"/>
      <c r="C113" s="27">
        <f>ROUND(10.385,5)</f>
        <v>10.385</v>
      </c>
      <c r="D113" s="27">
        <f>F113</f>
        <v>10.44555</v>
      </c>
      <c r="E113" s="27">
        <f>F113</f>
        <v>10.44555</v>
      </c>
      <c r="F113" s="27">
        <f>ROUND(10.44555,5)</f>
        <v>10.44555</v>
      </c>
      <c r="G113" s="24"/>
      <c r="H113" s="36"/>
    </row>
    <row r="114" spans="1:8" ht="12.75" customHeight="1">
      <c r="A114" s="22">
        <v>42768</v>
      </c>
      <c r="B114" s="22"/>
      <c r="C114" s="27">
        <f>ROUND(10.385,5)</f>
        <v>10.385</v>
      </c>
      <c r="D114" s="27">
        <f>F114</f>
        <v>10.52545</v>
      </c>
      <c r="E114" s="27">
        <f>F114</f>
        <v>10.52545</v>
      </c>
      <c r="F114" s="27">
        <f>ROUND(10.52545,5)</f>
        <v>10.52545</v>
      </c>
      <c r="G114" s="24"/>
      <c r="H114" s="36"/>
    </row>
    <row r="115" spans="1:8" ht="12.75" customHeight="1">
      <c r="A115" s="22">
        <v>42859</v>
      </c>
      <c r="B115" s="22"/>
      <c r="C115" s="27">
        <f>ROUND(10.385,5)</f>
        <v>10.385</v>
      </c>
      <c r="D115" s="27">
        <f>F115</f>
        <v>10.59447</v>
      </c>
      <c r="E115" s="27">
        <f>F115</f>
        <v>10.59447</v>
      </c>
      <c r="F115" s="27">
        <f>ROUND(10.59447,5)</f>
        <v>10.59447</v>
      </c>
      <c r="G115" s="24"/>
      <c r="H115" s="36"/>
    </row>
    <row r="116" spans="1:8" ht="12.75" customHeight="1">
      <c r="A116" s="22">
        <v>42950</v>
      </c>
      <c r="B116" s="22"/>
      <c r="C116" s="27">
        <f>ROUND(10.385,5)</f>
        <v>10.385</v>
      </c>
      <c r="D116" s="27">
        <f>F116</f>
        <v>10.65327</v>
      </c>
      <c r="E116" s="27">
        <f>F116</f>
        <v>10.65327</v>
      </c>
      <c r="F116" s="27">
        <f>ROUND(10.65327,5)</f>
        <v>10.65327</v>
      </c>
      <c r="G116" s="24"/>
      <c r="H116" s="36"/>
    </row>
    <row r="117" spans="1:8" ht="12.75" customHeight="1">
      <c r="A117" s="22">
        <v>43041</v>
      </c>
      <c r="B117" s="22"/>
      <c r="C117" s="27">
        <f>ROUND(10.385,5)</f>
        <v>10.385</v>
      </c>
      <c r="D117" s="27">
        <f>F117</f>
        <v>10.73082</v>
      </c>
      <c r="E117" s="27">
        <f>F117</f>
        <v>10.73082</v>
      </c>
      <c r="F117" s="27">
        <f>ROUND(10.73082,5)</f>
        <v>10.73082</v>
      </c>
      <c r="G117" s="24"/>
      <c r="H117" s="36"/>
    </row>
    <row r="118" spans="1:8" ht="12.75" customHeight="1">
      <c r="A118" s="22" t="s">
        <v>42</v>
      </c>
      <c r="B118" s="22"/>
      <c r="C118" s="23"/>
      <c r="D118" s="23"/>
      <c r="E118" s="23"/>
      <c r="F118" s="23"/>
      <c r="G118" s="24"/>
      <c r="H118" s="36"/>
    </row>
    <row r="119" spans="1:8" ht="12.75" customHeight="1">
      <c r="A119" s="22">
        <v>42677</v>
      </c>
      <c r="B119" s="22"/>
      <c r="C119" s="27">
        <f>ROUND(10.495,5)</f>
        <v>10.495</v>
      </c>
      <c r="D119" s="27">
        <f>F119</f>
        <v>10.55305</v>
      </c>
      <c r="E119" s="27">
        <f>F119</f>
        <v>10.55305</v>
      </c>
      <c r="F119" s="27">
        <f>ROUND(10.55305,5)</f>
        <v>10.55305</v>
      </c>
      <c r="G119" s="24"/>
      <c r="H119" s="36"/>
    </row>
    <row r="120" spans="1:8" ht="12.75" customHeight="1">
      <c r="A120" s="22">
        <v>42768</v>
      </c>
      <c r="B120" s="22"/>
      <c r="C120" s="27">
        <f>ROUND(10.495,5)</f>
        <v>10.495</v>
      </c>
      <c r="D120" s="27">
        <f>F120</f>
        <v>10.62751</v>
      </c>
      <c r="E120" s="27">
        <f>F120</f>
        <v>10.62751</v>
      </c>
      <c r="F120" s="27">
        <f>ROUND(10.62751,5)</f>
        <v>10.62751</v>
      </c>
      <c r="G120" s="24"/>
      <c r="H120" s="36"/>
    </row>
    <row r="121" spans="1:8" ht="12.75" customHeight="1">
      <c r="A121" s="22">
        <v>42859</v>
      </c>
      <c r="B121" s="22"/>
      <c r="C121" s="27">
        <f>ROUND(10.495,5)</f>
        <v>10.495</v>
      </c>
      <c r="D121" s="27">
        <f>F121</f>
        <v>10.69591</v>
      </c>
      <c r="E121" s="27">
        <f>F121</f>
        <v>10.69591</v>
      </c>
      <c r="F121" s="27">
        <f>ROUND(10.69591,5)</f>
        <v>10.69591</v>
      </c>
      <c r="G121" s="24"/>
      <c r="H121" s="36"/>
    </row>
    <row r="122" spans="1:8" ht="12.75" customHeight="1">
      <c r="A122" s="22">
        <v>42950</v>
      </c>
      <c r="B122" s="22"/>
      <c r="C122" s="27">
        <f>ROUND(10.495,5)</f>
        <v>10.495</v>
      </c>
      <c r="D122" s="27">
        <f>F122</f>
        <v>10.75377</v>
      </c>
      <c r="E122" s="27">
        <f>F122</f>
        <v>10.75377</v>
      </c>
      <c r="F122" s="27">
        <f>ROUND(10.75377,5)</f>
        <v>10.75377</v>
      </c>
      <c r="G122" s="24"/>
      <c r="H122" s="36"/>
    </row>
    <row r="123" spans="1:8" ht="12.75" customHeight="1">
      <c r="A123" s="22">
        <v>43041</v>
      </c>
      <c r="B123" s="22"/>
      <c r="C123" s="27">
        <f>ROUND(10.495,5)</f>
        <v>10.495</v>
      </c>
      <c r="D123" s="27">
        <f>F123</f>
        <v>10.82766</v>
      </c>
      <c r="E123" s="27">
        <f>F123</f>
        <v>10.82766</v>
      </c>
      <c r="F123" s="27">
        <f>ROUND(10.82766,5)</f>
        <v>10.82766</v>
      </c>
      <c r="G123" s="24"/>
      <c r="H123" s="36"/>
    </row>
    <row r="124" spans="1:8" ht="12.75" customHeight="1">
      <c r="A124" s="22" t="s">
        <v>43</v>
      </c>
      <c r="B124" s="22"/>
      <c r="C124" s="23"/>
      <c r="D124" s="23"/>
      <c r="E124" s="23"/>
      <c r="F124" s="23"/>
      <c r="G124" s="24"/>
      <c r="H124" s="36"/>
    </row>
    <row r="125" spans="1:8" ht="12.75" customHeight="1">
      <c r="A125" s="22">
        <v>42677</v>
      </c>
      <c r="B125" s="22"/>
      <c r="C125" s="27">
        <f>ROUND(152.4885808,5)</f>
        <v>152.48858</v>
      </c>
      <c r="D125" s="27">
        <f>F125</f>
        <v>154.60022</v>
      </c>
      <c r="E125" s="27">
        <f>F125</f>
        <v>154.60022</v>
      </c>
      <c r="F125" s="27">
        <f>ROUND(154.60022,5)</f>
        <v>154.60022</v>
      </c>
      <c r="G125" s="24"/>
      <c r="H125" s="36"/>
    </row>
    <row r="126" spans="1:8" ht="12.75" customHeight="1">
      <c r="A126" s="22">
        <v>42768</v>
      </c>
      <c r="B126" s="22"/>
      <c r="C126" s="27">
        <f>ROUND(152.4885808,5)</f>
        <v>152.48858</v>
      </c>
      <c r="D126" s="27">
        <f>F126</f>
        <v>154.60022</v>
      </c>
      <c r="E126" s="27">
        <f>F126</f>
        <v>154.60022</v>
      </c>
      <c r="F126" s="27">
        <f>ROUND(154.60022,5)</f>
        <v>154.60022</v>
      </c>
      <c r="G126" s="24"/>
      <c r="H126" s="36"/>
    </row>
    <row r="127" spans="1:8" ht="12.75" customHeight="1">
      <c r="A127" s="22" t="s">
        <v>44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42677</v>
      </c>
      <c r="B128" s="22"/>
      <c r="C128" s="27">
        <f>ROUND(8.58,5)</f>
        <v>8.58</v>
      </c>
      <c r="D128" s="27">
        <f>F128</f>
        <v>8.61838</v>
      </c>
      <c r="E128" s="27">
        <f>F128</f>
        <v>8.61838</v>
      </c>
      <c r="F128" s="27">
        <f>ROUND(8.61838,5)</f>
        <v>8.61838</v>
      </c>
      <c r="G128" s="24"/>
      <c r="H128" s="36"/>
    </row>
    <row r="129" spans="1:8" ht="12.75" customHeight="1">
      <c r="A129" s="22">
        <v>42768</v>
      </c>
      <c r="B129" s="22"/>
      <c r="C129" s="27">
        <f>ROUND(8.58,5)</f>
        <v>8.58</v>
      </c>
      <c r="D129" s="27">
        <f>F129</f>
        <v>8.66286</v>
      </c>
      <c r="E129" s="27">
        <f>F129</f>
        <v>8.66286</v>
      </c>
      <c r="F129" s="27">
        <f>ROUND(8.66286,5)</f>
        <v>8.66286</v>
      </c>
      <c r="G129" s="24"/>
      <c r="H129" s="36"/>
    </row>
    <row r="130" spans="1:8" ht="12.75" customHeight="1">
      <c r="A130" s="22">
        <v>42859</v>
      </c>
      <c r="B130" s="22"/>
      <c r="C130" s="27">
        <f>ROUND(8.58,5)</f>
        <v>8.58</v>
      </c>
      <c r="D130" s="27">
        <f>F130</f>
        <v>8.68602</v>
      </c>
      <c r="E130" s="27">
        <f>F130</f>
        <v>8.68602</v>
      </c>
      <c r="F130" s="27">
        <f>ROUND(8.68602,5)</f>
        <v>8.68602</v>
      </c>
      <c r="G130" s="24"/>
      <c r="H130" s="36"/>
    </row>
    <row r="131" spans="1:8" ht="12.75" customHeight="1">
      <c r="A131" s="22">
        <v>42950</v>
      </c>
      <c r="B131" s="22"/>
      <c r="C131" s="27">
        <f>ROUND(8.58,5)</f>
        <v>8.58</v>
      </c>
      <c r="D131" s="27">
        <f>F131</f>
        <v>8.68937</v>
      </c>
      <c r="E131" s="27">
        <f>F131</f>
        <v>8.68937</v>
      </c>
      <c r="F131" s="27">
        <f>ROUND(8.68937,5)</f>
        <v>8.68937</v>
      </c>
      <c r="G131" s="24"/>
      <c r="H131" s="36"/>
    </row>
    <row r="132" spans="1:8" ht="12.75" customHeight="1">
      <c r="A132" s="22">
        <v>43041</v>
      </c>
      <c r="B132" s="22"/>
      <c r="C132" s="27">
        <f>ROUND(8.58,5)</f>
        <v>8.58</v>
      </c>
      <c r="D132" s="27">
        <f>F132</f>
        <v>8.72472</v>
      </c>
      <c r="E132" s="27">
        <f>F132</f>
        <v>8.72472</v>
      </c>
      <c r="F132" s="27">
        <f>ROUND(8.72472,5)</f>
        <v>8.72472</v>
      </c>
      <c r="G132" s="24"/>
      <c r="H132" s="36"/>
    </row>
    <row r="133" spans="1:8" ht="12.75" customHeight="1">
      <c r="A133" s="22" t="s">
        <v>45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42677</v>
      </c>
      <c r="B134" s="22"/>
      <c r="C134" s="27">
        <f>ROUND(9.455,5)</f>
        <v>9.455</v>
      </c>
      <c r="D134" s="27">
        <f>F134</f>
        <v>9.49454</v>
      </c>
      <c r="E134" s="27">
        <f>F134</f>
        <v>9.49454</v>
      </c>
      <c r="F134" s="27">
        <f>ROUND(9.49454,5)</f>
        <v>9.49454</v>
      </c>
      <c r="G134" s="24"/>
      <c r="H134" s="36"/>
    </row>
    <row r="135" spans="1:8" ht="12.75" customHeight="1">
      <c r="A135" s="22">
        <v>42768</v>
      </c>
      <c r="B135" s="22"/>
      <c r="C135" s="27">
        <f>ROUND(9.455,5)</f>
        <v>9.455</v>
      </c>
      <c r="D135" s="27">
        <f>F135</f>
        <v>9.54422</v>
      </c>
      <c r="E135" s="27">
        <f>F135</f>
        <v>9.54422</v>
      </c>
      <c r="F135" s="27">
        <f>ROUND(9.54422,5)</f>
        <v>9.54422</v>
      </c>
      <c r="G135" s="24"/>
      <c r="H135" s="36"/>
    </row>
    <row r="136" spans="1:8" ht="12.75" customHeight="1">
      <c r="A136" s="22">
        <v>42859</v>
      </c>
      <c r="B136" s="22"/>
      <c r="C136" s="27">
        <f>ROUND(9.455,5)</f>
        <v>9.455</v>
      </c>
      <c r="D136" s="27">
        <f>F136</f>
        <v>9.58157</v>
      </c>
      <c r="E136" s="27">
        <f>F136</f>
        <v>9.58157</v>
      </c>
      <c r="F136" s="27">
        <f>ROUND(9.58157,5)</f>
        <v>9.58157</v>
      </c>
      <c r="G136" s="24"/>
      <c r="H136" s="36"/>
    </row>
    <row r="137" spans="1:8" ht="12.75" customHeight="1">
      <c r="A137" s="22">
        <v>42950</v>
      </c>
      <c r="B137" s="22"/>
      <c r="C137" s="27">
        <f>ROUND(9.455,5)</f>
        <v>9.455</v>
      </c>
      <c r="D137" s="27">
        <f>F137</f>
        <v>9.6091</v>
      </c>
      <c r="E137" s="27">
        <f>F137</f>
        <v>9.6091</v>
      </c>
      <c r="F137" s="27">
        <f>ROUND(9.6091,5)</f>
        <v>9.6091</v>
      </c>
      <c r="G137" s="24"/>
      <c r="H137" s="36"/>
    </row>
    <row r="138" spans="1:8" ht="12.75" customHeight="1">
      <c r="A138" s="22">
        <v>43041</v>
      </c>
      <c r="B138" s="22"/>
      <c r="C138" s="27">
        <f>ROUND(9.455,5)</f>
        <v>9.455</v>
      </c>
      <c r="D138" s="27">
        <f>F138</f>
        <v>9.65367</v>
      </c>
      <c r="E138" s="27">
        <f>F138</f>
        <v>9.65367</v>
      </c>
      <c r="F138" s="27">
        <f>ROUND(9.65367,5)</f>
        <v>9.65367</v>
      </c>
      <c r="G138" s="24"/>
      <c r="H138" s="36"/>
    </row>
    <row r="139" spans="1:8" ht="12.75" customHeight="1">
      <c r="A139" s="22" t="s">
        <v>46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42677</v>
      </c>
      <c r="B140" s="22"/>
      <c r="C140" s="27">
        <f>ROUND(8.915,5)</f>
        <v>8.915</v>
      </c>
      <c r="D140" s="27">
        <f>F140</f>
        <v>8.95176</v>
      </c>
      <c r="E140" s="27">
        <f>F140</f>
        <v>8.95176</v>
      </c>
      <c r="F140" s="27">
        <f>ROUND(8.95176,5)</f>
        <v>8.95176</v>
      </c>
      <c r="G140" s="24"/>
      <c r="H140" s="36"/>
    </row>
    <row r="141" spans="1:8" ht="12.75" customHeight="1">
      <c r="A141" s="22">
        <v>42768</v>
      </c>
      <c r="B141" s="22"/>
      <c r="C141" s="27">
        <f>ROUND(8.915,5)</f>
        <v>8.915</v>
      </c>
      <c r="D141" s="27">
        <f>F141</f>
        <v>8.99553</v>
      </c>
      <c r="E141" s="27">
        <f>F141</f>
        <v>8.99553</v>
      </c>
      <c r="F141" s="27">
        <f>ROUND(8.99553,5)</f>
        <v>8.99553</v>
      </c>
      <c r="G141" s="24"/>
      <c r="H141" s="36"/>
    </row>
    <row r="142" spans="1:8" ht="12.75" customHeight="1">
      <c r="A142" s="22">
        <v>42859</v>
      </c>
      <c r="B142" s="22"/>
      <c r="C142" s="27">
        <f>ROUND(8.915,5)</f>
        <v>8.915</v>
      </c>
      <c r="D142" s="27">
        <f>F142</f>
        <v>9.02874</v>
      </c>
      <c r="E142" s="27">
        <f>F142</f>
        <v>9.02874</v>
      </c>
      <c r="F142" s="27">
        <f>ROUND(9.02874,5)</f>
        <v>9.02874</v>
      </c>
      <c r="G142" s="24"/>
      <c r="H142" s="36"/>
    </row>
    <row r="143" spans="1:8" ht="12.75" customHeight="1">
      <c r="A143" s="22">
        <v>42950</v>
      </c>
      <c r="B143" s="22"/>
      <c r="C143" s="27">
        <f>ROUND(8.915,5)</f>
        <v>8.915</v>
      </c>
      <c r="D143" s="27">
        <f>F143</f>
        <v>9.04797</v>
      </c>
      <c r="E143" s="27">
        <f>F143</f>
        <v>9.04797</v>
      </c>
      <c r="F143" s="27">
        <f>ROUND(9.04797,5)</f>
        <v>9.04797</v>
      </c>
      <c r="G143" s="24"/>
      <c r="H143" s="36"/>
    </row>
    <row r="144" spans="1:8" ht="12.75" customHeight="1">
      <c r="A144" s="22">
        <v>43041</v>
      </c>
      <c r="B144" s="22"/>
      <c r="C144" s="27">
        <f>ROUND(8.915,5)</f>
        <v>8.915</v>
      </c>
      <c r="D144" s="27">
        <f>F144</f>
        <v>9.08591</v>
      </c>
      <c r="E144" s="27">
        <f>F144</f>
        <v>9.08591</v>
      </c>
      <c r="F144" s="27">
        <f>ROUND(9.08591,5)</f>
        <v>9.08591</v>
      </c>
      <c r="G144" s="24"/>
      <c r="H144" s="36"/>
    </row>
    <row r="145" spans="1:8" ht="12.75" customHeight="1">
      <c r="A145" s="22" t="s">
        <v>47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42677</v>
      </c>
      <c r="B146" s="22"/>
      <c r="C146" s="27">
        <f>ROUND(1.79,5)</f>
        <v>1.79</v>
      </c>
      <c r="D146" s="27">
        <f>F146</f>
        <v>303.22829</v>
      </c>
      <c r="E146" s="27">
        <f>F146</f>
        <v>303.22829</v>
      </c>
      <c r="F146" s="27">
        <f>ROUND(303.22829,5)</f>
        <v>303.22829</v>
      </c>
      <c r="G146" s="24"/>
      <c r="H146" s="36"/>
    </row>
    <row r="147" spans="1:8" ht="12.75" customHeight="1">
      <c r="A147" s="22">
        <v>42768</v>
      </c>
      <c r="B147" s="22"/>
      <c r="C147" s="27">
        <f>ROUND(1.79,5)</f>
        <v>1.79</v>
      </c>
      <c r="D147" s="27">
        <f>F147</f>
        <v>302.40854</v>
      </c>
      <c r="E147" s="27">
        <f>F147</f>
        <v>302.40854</v>
      </c>
      <c r="F147" s="27">
        <f>ROUND(302.40854,5)</f>
        <v>302.40854</v>
      </c>
      <c r="G147" s="24"/>
      <c r="H147" s="36"/>
    </row>
    <row r="148" spans="1:8" ht="12.75" customHeight="1">
      <c r="A148" s="22">
        <v>42859</v>
      </c>
      <c r="B148" s="22"/>
      <c r="C148" s="27">
        <f>ROUND(1.79,5)</f>
        <v>1.79</v>
      </c>
      <c r="D148" s="27">
        <f>F148</f>
        <v>308.54053</v>
      </c>
      <c r="E148" s="27">
        <f>F148</f>
        <v>308.54053</v>
      </c>
      <c r="F148" s="27">
        <f>ROUND(308.54053,5)</f>
        <v>308.54053</v>
      </c>
      <c r="G148" s="24"/>
      <c r="H148" s="36"/>
    </row>
    <row r="149" spans="1:8" ht="12.75" customHeight="1">
      <c r="A149" s="22">
        <v>42950</v>
      </c>
      <c r="B149" s="22"/>
      <c r="C149" s="27">
        <f>ROUND(1.79,5)</f>
        <v>1.79</v>
      </c>
      <c r="D149" s="27">
        <f>F149</f>
        <v>308.12838</v>
      </c>
      <c r="E149" s="27">
        <f>F149</f>
        <v>308.12838</v>
      </c>
      <c r="F149" s="27">
        <f>ROUND(308.12838,5)</f>
        <v>308.12838</v>
      </c>
      <c r="G149" s="24"/>
      <c r="H149" s="36"/>
    </row>
    <row r="150" spans="1:8" ht="12.75" customHeight="1">
      <c r="A150" s="22">
        <v>43041</v>
      </c>
      <c r="B150" s="22"/>
      <c r="C150" s="27">
        <f>ROUND(1.79,5)</f>
        <v>1.79</v>
      </c>
      <c r="D150" s="27">
        <f>F150</f>
        <v>314.19162</v>
      </c>
      <c r="E150" s="27">
        <f>F150</f>
        <v>314.19162</v>
      </c>
      <c r="F150" s="27">
        <f>ROUND(314.19162,5)</f>
        <v>314.19162</v>
      </c>
      <c r="G150" s="24"/>
      <c r="H150" s="36"/>
    </row>
    <row r="151" spans="1:8" ht="12.75" customHeight="1">
      <c r="A151" s="22" t="s">
        <v>48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42677</v>
      </c>
      <c r="B152" s="22"/>
      <c r="C152" s="27">
        <f>ROUND(1.92,5)</f>
        <v>1.92</v>
      </c>
      <c r="D152" s="27">
        <f>F152</f>
        <v>250.15075</v>
      </c>
      <c r="E152" s="27">
        <f>F152</f>
        <v>250.15075</v>
      </c>
      <c r="F152" s="27">
        <f>ROUND(250.15075,5)</f>
        <v>250.15075</v>
      </c>
      <c r="G152" s="24"/>
      <c r="H152" s="36"/>
    </row>
    <row r="153" spans="1:8" ht="12.75" customHeight="1">
      <c r="A153" s="22">
        <v>42768</v>
      </c>
      <c r="B153" s="22"/>
      <c r="C153" s="27">
        <f>ROUND(1.92,5)</f>
        <v>1.92</v>
      </c>
      <c r="D153" s="27">
        <f>F153</f>
        <v>251.44637</v>
      </c>
      <c r="E153" s="27">
        <f>F153</f>
        <v>251.44637</v>
      </c>
      <c r="F153" s="27">
        <f>ROUND(251.44637,5)</f>
        <v>251.44637</v>
      </c>
      <c r="G153" s="24"/>
      <c r="H153" s="36"/>
    </row>
    <row r="154" spans="1:8" ht="12.75" customHeight="1">
      <c r="A154" s="22">
        <v>42859</v>
      </c>
      <c r="B154" s="22"/>
      <c r="C154" s="27">
        <f>ROUND(1.92,5)</f>
        <v>1.92</v>
      </c>
      <c r="D154" s="27">
        <f>F154</f>
        <v>256.54455</v>
      </c>
      <c r="E154" s="27">
        <f>F154</f>
        <v>256.54455</v>
      </c>
      <c r="F154" s="27">
        <f>ROUND(256.54455,5)</f>
        <v>256.54455</v>
      </c>
      <c r="G154" s="24"/>
      <c r="H154" s="36"/>
    </row>
    <row r="155" spans="1:8" ht="12.75" customHeight="1">
      <c r="A155" s="22">
        <v>42950</v>
      </c>
      <c r="B155" s="22"/>
      <c r="C155" s="27">
        <f>ROUND(1.92,5)</f>
        <v>1.92</v>
      </c>
      <c r="D155" s="27">
        <f>F155</f>
        <v>258.28436</v>
      </c>
      <c r="E155" s="27">
        <f>F155</f>
        <v>258.28436</v>
      </c>
      <c r="F155" s="27">
        <f>ROUND(258.28436,5)</f>
        <v>258.28436</v>
      </c>
      <c r="G155" s="24"/>
      <c r="H155" s="36"/>
    </row>
    <row r="156" spans="1:8" ht="12.75" customHeight="1">
      <c r="A156" s="22">
        <v>43041</v>
      </c>
      <c r="B156" s="22"/>
      <c r="C156" s="27">
        <f>ROUND(1.92,5)</f>
        <v>1.92</v>
      </c>
      <c r="D156" s="27">
        <f>F156</f>
        <v>263.36924</v>
      </c>
      <c r="E156" s="27">
        <f>F156</f>
        <v>263.36924</v>
      </c>
      <c r="F156" s="27">
        <f>ROUND(263.36924,5)</f>
        <v>263.36924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7">
        <f>ROUND(7.67,5)</f>
        <v>7.67</v>
      </c>
      <c r="D158" s="27">
        <f>F158</f>
        <v>7.6924</v>
      </c>
      <c r="E158" s="27">
        <f>F158</f>
        <v>7.6924</v>
      </c>
      <c r="F158" s="27">
        <f>ROUND(7.6924,5)</f>
        <v>7.6924</v>
      </c>
      <c r="G158" s="24"/>
      <c r="H158" s="36"/>
    </row>
    <row r="159" spans="1:8" ht="12.75" customHeight="1">
      <c r="A159" s="22">
        <v>42768</v>
      </c>
      <c r="B159" s="22"/>
      <c r="C159" s="27">
        <f>ROUND(7.67,5)</f>
        <v>7.67</v>
      </c>
      <c r="D159" s="27">
        <f>F159</f>
        <v>7.65454</v>
      </c>
      <c r="E159" s="27">
        <f>F159</f>
        <v>7.65454</v>
      </c>
      <c r="F159" s="27">
        <f>ROUND(7.65454,5)</f>
        <v>7.65454</v>
      </c>
      <c r="G159" s="24"/>
      <c r="H159" s="36"/>
    </row>
    <row r="160" spans="1:8" ht="12.75" customHeight="1">
      <c r="A160" s="22">
        <v>42859</v>
      </c>
      <c r="B160" s="22"/>
      <c r="C160" s="27">
        <f>ROUND(7.67,5)</f>
        <v>7.67</v>
      </c>
      <c r="D160" s="27">
        <f>F160</f>
        <v>7.15983</v>
      </c>
      <c r="E160" s="27">
        <f>F160</f>
        <v>7.15983</v>
      </c>
      <c r="F160" s="27">
        <f>ROUND(7.15983,5)</f>
        <v>7.15983</v>
      </c>
      <c r="G160" s="24"/>
      <c r="H160" s="36"/>
    </row>
    <row r="161" spans="1:10" ht="12.75" customHeight="1">
      <c r="A161" s="22">
        <v>42950</v>
      </c>
      <c r="B161" s="22"/>
      <c r="C161" s="27">
        <f>ROUND(7.67,5)</f>
        <v>7.67</v>
      </c>
      <c r="D161" s="27">
        <f>F161</f>
        <v>3.95021</v>
      </c>
      <c r="E161" s="27">
        <f>F161</f>
        <v>3.95021</v>
      </c>
      <c r="F161" s="27">
        <f>ROUND(3.95021,5)</f>
        <v>3.95021</v>
      </c>
      <c r="G161" s="24"/>
      <c r="H161" s="36"/>
      <c r="I161" s="16">
        <f>ROUND(7.87,5)</f>
        <v>7.87</v>
      </c>
      <c r="J161" s="16">
        <f>ROUND(5.89734,5)</f>
        <v>5.89734</v>
      </c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42677</v>
      </c>
      <c r="B163" s="22"/>
      <c r="C163" s="27">
        <f>ROUND(7.895,5)</f>
        <v>7.895</v>
      </c>
      <c r="D163" s="27">
        <f>F163</f>
        <v>7.92012</v>
      </c>
      <c r="E163" s="27">
        <f>F163</f>
        <v>7.92012</v>
      </c>
      <c r="F163" s="27">
        <f>ROUND(7.92012,5)</f>
        <v>7.92012</v>
      </c>
      <c r="G163" s="24"/>
      <c r="H163" s="36"/>
    </row>
    <row r="164" spans="1:8" ht="12.75" customHeight="1">
      <c r="A164" s="22">
        <v>42768</v>
      </c>
      <c r="B164" s="22"/>
      <c r="C164" s="27">
        <f>ROUND(7.895,5)</f>
        <v>7.895</v>
      </c>
      <c r="D164" s="27">
        <f>F164</f>
        <v>7.93107</v>
      </c>
      <c r="E164" s="27">
        <f>F164</f>
        <v>7.93107</v>
      </c>
      <c r="F164" s="27">
        <f>ROUND(7.93107,5)</f>
        <v>7.93107</v>
      </c>
      <c r="G164" s="24"/>
      <c r="H164" s="36"/>
    </row>
    <row r="165" spans="1:8" ht="12.75" customHeight="1">
      <c r="A165" s="22">
        <v>42859</v>
      </c>
      <c r="B165" s="22"/>
      <c r="C165" s="27">
        <f>ROUND(7.895,5)</f>
        <v>7.895</v>
      </c>
      <c r="D165" s="27">
        <f>F165</f>
        <v>7.8912</v>
      </c>
      <c r="E165" s="27">
        <f>F165</f>
        <v>7.8912</v>
      </c>
      <c r="F165" s="27">
        <f>ROUND(7.8912,5)</f>
        <v>7.8912</v>
      </c>
      <c r="G165" s="24"/>
      <c r="H165" s="36"/>
    </row>
    <row r="166" spans="1:8" ht="12.75" customHeight="1">
      <c r="A166" s="22">
        <v>42950</v>
      </c>
      <c r="B166" s="22"/>
      <c r="C166" s="27">
        <f>ROUND(7.895,5)</f>
        <v>7.895</v>
      </c>
      <c r="D166" s="27">
        <f>F166</f>
        <v>7.76271</v>
      </c>
      <c r="E166" s="27">
        <f>F166</f>
        <v>7.76271</v>
      </c>
      <c r="F166" s="27">
        <f>ROUND(7.76271,5)</f>
        <v>7.76271</v>
      </c>
      <c r="G166" s="24"/>
      <c r="H166" s="36"/>
    </row>
    <row r="167" spans="1:8" ht="12.75" customHeight="1">
      <c r="A167" s="22">
        <v>43041</v>
      </c>
      <c r="B167" s="22"/>
      <c r="C167" s="27">
        <f>ROUND(7.895,5)</f>
        <v>7.895</v>
      </c>
      <c r="D167" s="27">
        <f>F167</f>
        <v>7.6753</v>
      </c>
      <c r="E167" s="27">
        <f>F167</f>
        <v>7.6753</v>
      </c>
      <c r="F167" s="27">
        <f>ROUND(7.6753,5)</f>
        <v>7.6753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42677</v>
      </c>
      <c r="B169" s="22"/>
      <c r="C169" s="27">
        <f>ROUND(8.21,5)</f>
        <v>8.21</v>
      </c>
      <c r="D169" s="27">
        <f>F169</f>
        <v>8.2446</v>
      </c>
      <c r="E169" s="27">
        <f>F169</f>
        <v>8.2446</v>
      </c>
      <c r="F169" s="27">
        <f>ROUND(8.2446,5)</f>
        <v>8.2446</v>
      </c>
      <c r="G169" s="24"/>
      <c r="H169" s="36"/>
    </row>
    <row r="170" spans="1:8" ht="12.75" customHeight="1">
      <c r="A170" s="22">
        <v>42768</v>
      </c>
      <c r="B170" s="22"/>
      <c r="C170" s="27">
        <f>ROUND(8.21,5)</f>
        <v>8.21</v>
      </c>
      <c r="D170" s="27">
        <f>F170</f>
        <v>8.27952</v>
      </c>
      <c r="E170" s="27">
        <f>F170</f>
        <v>8.27952</v>
      </c>
      <c r="F170" s="27">
        <f>ROUND(8.27952,5)</f>
        <v>8.27952</v>
      </c>
      <c r="G170" s="24"/>
      <c r="H170" s="36"/>
    </row>
    <row r="171" spans="1:8" ht="12.75" customHeight="1">
      <c r="A171" s="22">
        <v>42859</v>
      </c>
      <c r="B171" s="22"/>
      <c r="C171" s="27">
        <f>ROUND(8.21,5)</f>
        <v>8.21</v>
      </c>
      <c r="D171" s="27">
        <f>F171</f>
        <v>8.29538</v>
      </c>
      <c r="E171" s="27">
        <f>F171</f>
        <v>8.29538</v>
      </c>
      <c r="F171" s="27">
        <f>ROUND(8.29538,5)</f>
        <v>8.29538</v>
      </c>
      <c r="G171" s="24"/>
      <c r="H171" s="36"/>
    </row>
    <row r="172" spans="1:8" ht="12.75" customHeight="1">
      <c r="A172" s="22">
        <v>42950</v>
      </c>
      <c r="B172" s="22"/>
      <c r="C172" s="27">
        <f>ROUND(8.21,5)</f>
        <v>8.21</v>
      </c>
      <c r="D172" s="27">
        <f>F172</f>
        <v>8.2701</v>
      </c>
      <c r="E172" s="27">
        <f>F172</f>
        <v>8.2701</v>
      </c>
      <c r="F172" s="27">
        <f>ROUND(8.2701,5)</f>
        <v>8.2701</v>
      </c>
      <c r="G172" s="24"/>
      <c r="H172" s="36"/>
    </row>
    <row r="173" spans="1:8" ht="12.75" customHeight="1">
      <c r="A173" s="22">
        <v>43041</v>
      </c>
      <c r="B173" s="22"/>
      <c r="C173" s="27">
        <f>ROUND(8.21,5)</f>
        <v>8.21</v>
      </c>
      <c r="D173" s="27">
        <f>F173</f>
        <v>8.28094</v>
      </c>
      <c r="E173" s="27">
        <f>F173</f>
        <v>8.28094</v>
      </c>
      <c r="F173" s="27">
        <f>ROUND(8.28094,5)</f>
        <v>8.28094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42677</v>
      </c>
      <c r="B175" s="22"/>
      <c r="C175" s="27">
        <f>ROUND(8.33,5)</f>
        <v>8.33</v>
      </c>
      <c r="D175" s="27">
        <f>F175</f>
        <v>8.36536</v>
      </c>
      <c r="E175" s="27">
        <f>F175</f>
        <v>8.36536</v>
      </c>
      <c r="F175" s="27">
        <f>ROUND(8.36536,5)</f>
        <v>8.36536</v>
      </c>
      <c r="G175" s="24"/>
      <c r="H175" s="36"/>
    </row>
    <row r="176" spans="1:8" ht="12.75" customHeight="1">
      <c r="A176" s="22">
        <v>42768</v>
      </c>
      <c r="B176" s="22"/>
      <c r="C176" s="27">
        <f>ROUND(8.33,5)</f>
        <v>8.33</v>
      </c>
      <c r="D176" s="27">
        <f>F176</f>
        <v>8.40325</v>
      </c>
      <c r="E176" s="27">
        <f>F176</f>
        <v>8.40325</v>
      </c>
      <c r="F176" s="27">
        <f>ROUND(8.40325,5)</f>
        <v>8.40325</v>
      </c>
      <c r="G176" s="24"/>
      <c r="H176" s="36"/>
    </row>
    <row r="177" spans="1:8" ht="12.75" customHeight="1">
      <c r="A177" s="22">
        <v>42859</v>
      </c>
      <c r="B177" s="22"/>
      <c r="C177" s="27">
        <f>ROUND(8.33,5)</f>
        <v>8.33</v>
      </c>
      <c r="D177" s="27">
        <f>F177</f>
        <v>8.41908</v>
      </c>
      <c r="E177" s="27">
        <f>F177</f>
        <v>8.41908</v>
      </c>
      <c r="F177" s="27">
        <f>ROUND(8.41908,5)</f>
        <v>8.41908</v>
      </c>
      <c r="G177" s="24"/>
      <c r="H177" s="36"/>
    </row>
    <row r="178" spans="1:8" ht="12.75" customHeight="1">
      <c r="A178" s="22">
        <v>42950</v>
      </c>
      <c r="B178" s="22"/>
      <c r="C178" s="27">
        <f>ROUND(8.33,5)</f>
        <v>8.33</v>
      </c>
      <c r="D178" s="27">
        <f>F178</f>
        <v>8.40665</v>
      </c>
      <c r="E178" s="27">
        <f>F178</f>
        <v>8.40665</v>
      </c>
      <c r="F178" s="27">
        <f>ROUND(8.40665,5)</f>
        <v>8.40665</v>
      </c>
      <c r="G178" s="24"/>
      <c r="H178" s="36"/>
    </row>
    <row r="179" spans="1:8" ht="12.75" customHeight="1">
      <c r="A179" s="22">
        <v>43041</v>
      </c>
      <c r="B179" s="22"/>
      <c r="C179" s="27">
        <f>ROUND(8.33,5)</f>
        <v>8.33</v>
      </c>
      <c r="D179" s="27">
        <f>F179</f>
        <v>8.43052</v>
      </c>
      <c r="E179" s="27">
        <f>F179</f>
        <v>8.43052</v>
      </c>
      <c r="F179" s="27">
        <f>ROUND(8.43052,5)</f>
        <v>8.43052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42677</v>
      </c>
      <c r="B181" s="22"/>
      <c r="C181" s="27">
        <f>ROUND(9.415,5)</f>
        <v>9.415</v>
      </c>
      <c r="D181" s="27">
        <f>F181</f>
        <v>9.44915</v>
      </c>
      <c r="E181" s="27">
        <f>F181</f>
        <v>9.44915</v>
      </c>
      <c r="F181" s="27">
        <f>ROUND(9.44915,5)</f>
        <v>9.44915</v>
      </c>
      <c r="G181" s="24"/>
      <c r="H181" s="36"/>
    </row>
    <row r="182" spans="1:8" ht="12.75" customHeight="1">
      <c r="A182" s="22">
        <v>42768</v>
      </c>
      <c r="B182" s="22"/>
      <c r="C182" s="27">
        <f>ROUND(9.415,5)</f>
        <v>9.415</v>
      </c>
      <c r="D182" s="27">
        <f>F182</f>
        <v>9.49128</v>
      </c>
      <c r="E182" s="27">
        <f>F182</f>
        <v>9.49128</v>
      </c>
      <c r="F182" s="27">
        <f>ROUND(9.49128,5)</f>
        <v>9.49128</v>
      </c>
      <c r="G182" s="24"/>
      <c r="H182" s="36"/>
    </row>
    <row r="183" spans="1:8" ht="12.75" customHeight="1">
      <c r="A183" s="22">
        <v>42859</v>
      </c>
      <c r="B183" s="22"/>
      <c r="C183" s="27">
        <f>ROUND(9.415,5)</f>
        <v>9.415</v>
      </c>
      <c r="D183" s="27">
        <f>F183</f>
        <v>9.52523</v>
      </c>
      <c r="E183" s="27">
        <f>F183</f>
        <v>9.52523</v>
      </c>
      <c r="F183" s="27">
        <f>ROUND(9.52523,5)</f>
        <v>9.52523</v>
      </c>
      <c r="G183" s="24"/>
      <c r="H183" s="36"/>
    </row>
    <row r="184" spans="1:8" ht="12.75" customHeight="1">
      <c r="A184" s="22">
        <v>42950</v>
      </c>
      <c r="B184" s="22"/>
      <c r="C184" s="27">
        <f>ROUND(9.415,5)</f>
        <v>9.415</v>
      </c>
      <c r="D184" s="27">
        <f>F184</f>
        <v>9.54982</v>
      </c>
      <c r="E184" s="27">
        <f>F184</f>
        <v>9.54982</v>
      </c>
      <c r="F184" s="27">
        <f>ROUND(9.54982,5)</f>
        <v>9.54982</v>
      </c>
      <c r="G184" s="24"/>
      <c r="H184" s="36"/>
    </row>
    <row r="185" spans="1:8" ht="12.75" customHeight="1">
      <c r="A185" s="22">
        <v>43041</v>
      </c>
      <c r="B185" s="22"/>
      <c r="C185" s="27">
        <f>ROUND(9.415,5)</f>
        <v>9.415</v>
      </c>
      <c r="D185" s="27">
        <f>F185</f>
        <v>9.58761</v>
      </c>
      <c r="E185" s="27">
        <f>F185</f>
        <v>9.58761</v>
      </c>
      <c r="F185" s="27">
        <f>ROUND(9.58761,5)</f>
        <v>9.58761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42677</v>
      </c>
      <c r="B187" s="22"/>
      <c r="C187" s="27">
        <f>ROUND(1.89,5)</f>
        <v>1.89</v>
      </c>
      <c r="D187" s="27">
        <f>F187</f>
        <v>187.20703</v>
      </c>
      <c r="E187" s="27">
        <f>F187</f>
        <v>187.20703</v>
      </c>
      <c r="F187" s="27">
        <f>ROUND(187.20703,5)</f>
        <v>187.20703</v>
      </c>
      <c r="G187" s="24"/>
      <c r="H187" s="36"/>
    </row>
    <row r="188" spans="1:8" ht="12.75" customHeight="1">
      <c r="A188" s="22">
        <v>42768</v>
      </c>
      <c r="B188" s="22"/>
      <c r="C188" s="27">
        <f>ROUND(1.89,5)</f>
        <v>1.89</v>
      </c>
      <c r="D188" s="27">
        <f>F188</f>
        <v>190.84462</v>
      </c>
      <c r="E188" s="27">
        <f>F188</f>
        <v>190.84462</v>
      </c>
      <c r="F188" s="27">
        <f>ROUND(190.84462,5)</f>
        <v>190.84462</v>
      </c>
      <c r="G188" s="24"/>
      <c r="H188" s="36"/>
    </row>
    <row r="189" spans="1:8" ht="12.75" customHeight="1">
      <c r="A189" s="22">
        <v>42859</v>
      </c>
      <c r="B189" s="22"/>
      <c r="C189" s="27">
        <f>ROUND(1.89,5)</f>
        <v>1.89</v>
      </c>
      <c r="D189" s="27">
        <f>F189</f>
        <v>192.38537</v>
      </c>
      <c r="E189" s="27">
        <f>F189</f>
        <v>192.38537</v>
      </c>
      <c r="F189" s="27">
        <f>ROUND(192.38537,5)</f>
        <v>192.38537</v>
      </c>
      <c r="G189" s="24"/>
      <c r="H189" s="36"/>
    </row>
    <row r="190" spans="1:8" ht="12.75" customHeight="1">
      <c r="A190" s="22">
        <v>42950</v>
      </c>
      <c r="B190" s="22"/>
      <c r="C190" s="27">
        <f>ROUND(1.89,5)</f>
        <v>1.89</v>
      </c>
      <c r="D190" s="27">
        <f>F190</f>
        <v>196.45378</v>
      </c>
      <c r="E190" s="27">
        <f>F190</f>
        <v>196.45378</v>
      </c>
      <c r="F190" s="27">
        <f>ROUND(196.45378,5)</f>
        <v>196.45378</v>
      </c>
      <c r="G190" s="24"/>
      <c r="H190" s="36"/>
    </row>
    <row r="191" spans="1:8" ht="12.75" customHeight="1">
      <c r="A191" s="22">
        <v>43041</v>
      </c>
      <c r="B191" s="22"/>
      <c r="C191" s="27">
        <f>ROUND(1.89,5)</f>
        <v>1.89</v>
      </c>
      <c r="D191" s="27">
        <f>F191</f>
        <v>197.89648</v>
      </c>
      <c r="E191" s="27">
        <f>F191</f>
        <v>197.89648</v>
      </c>
      <c r="F191" s="27">
        <f>ROUND(197.89648,5)</f>
        <v>197.89648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42677</v>
      </c>
      <c r="B193" s="22"/>
      <c r="C193" s="27">
        <f>ROUND(2.25,5)</f>
        <v>2.25</v>
      </c>
      <c r="D193" s="27">
        <f>F193</f>
        <v>141.67604</v>
      </c>
      <c r="E193" s="27">
        <f>F193</f>
        <v>141.67604</v>
      </c>
      <c r="F193" s="27">
        <f>ROUND(141.67604,5)</f>
        <v>141.67604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42677</v>
      </c>
      <c r="B195" s="22"/>
      <c r="C195" s="27">
        <f>ROUND(1.79,5)</f>
        <v>1.79</v>
      </c>
      <c r="D195" s="27">
        <f>F195</f>
        <v>148.21603</v>
      </c>
      <c r="E195" s="27">
        <f>F195</f>
        <v>148.21603</v>
      </c>
      <c r="F195" s="27">
        <f>ROUND(148.21603,5)</f>
        <v>148.21603</v>
      </c>
      <c r="G195" s="24"/>
      <c r="H195" s="36"/>
    </row>
    <row r="196" spans="1:8" ht="12.75" customHeight="1">
      <c r="A196" s="22">
        <v>42768</v>
      </c>
      <c r="B196" s="22"/>
      <c r="C196" s="27">
        <f>ROUND(1.79,5)</f>
        <v>1.79</v>
      </c>
      <c r="D196" s="27">
        <f>F196</f>
        <v>149.13631</v>
      </c>
      <c r="E196" s="27">
        <f>F196</f>
        <v>149.13631</v>
      </c>
      <c r="F196" s="27">
        <f>ROUND(149.13631,5)</f>
        <v>149.13631</v>
      </c>
      <c r="G196" s="24"/>
      <c r="H196" s="36"/>
    </row>
    <row r="197" spans="1:8" ht="12.75" customHeight="1">
      <c r="A197" s="22">
        <v>42859</v>
      </c>
      <c r="B197" s="22"/>
      <c r="C197" s="27">
        <f>ROUND(1.79,5)</f>
        <v>1.79</v>
      </c>
      <c r="D197" s="27">
        <f>F197</f>
        <v>152.16028</v>
      </c>
      <c r="E197" s="27">
        <f>F197</f>
        <v>152.16028</v>
      </c>
      <c r="F197" s="27">
        <f>ROUND(152.16028,5)</f>
        <v>152.16028</v>
      </c>
      <c r="G197" s="24"/>
      <c r="H197" s="36"/>
    </row>
    <row r="198" spans="1:8" ht="12.75" customHeight="1">
      <c r="A198" s="22">
        <v>42950</v>
      </c>
      <c r="B198" s="22"/>
      <c r="C198" s="27">
        <f>ROUND(1.79,5)</f>
        <v>1.79</v>
      </c>
      <c r="D198" s="27">
        <f>F198</f>
        <v>153.33727</v>
      </c>
      <c r="E198" s="27">
        <f>F198</f>
        <v>153.33727</v>
      </c>
      <c r="F198" s="27">
        <f>ROUND(153.33727,5)</f>
        <v>153.33727</v>
      </c>
      <c r="G198" s="24"/>
      <c r="H198" s="36"/>
    </row>
    <row r="199" spans="1:8" ht="12.75" customHeight="1">
      <c r="A199" s="22">
        <v>43041</v>
      </c>
      <c r="B199" s="22"/>
      <c r="C199" s="27">
        <f>ROUND(1.79,5)</f>
        <v>1.79</v>
      </c>
      <c r="D199" s="27">
        <f>F199</f>
        <v>156.35544</v>
      </c>
      <c r="E199" s="27">
        <f>F199</f>
        <v>156.35544</v>
      </c>
      <c r="F199" s="27">
        <f>ROUND(156.35544,5)</f>
        <v>156.35544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42677</v>
      </c>
      <c r="B201" s="22"/>
      <c r="C201" s="27">
        <f>ROUND(9.292,5)</f>
        <v>9.292</v>
      </c>
      <c r="D201" s="27">
        <f>F201</f>
        <v>9.32996</v>
      </c>
      <c r="E201" s="27">
        <f>F201</f>
        <v>9.32996</v>
      </c>
      <c r="F201" s="27">
        <f>ROUND(9.32996,5)</f>
        <v>9.32996</v>
      </c>
      <c r="G201" s="24"/>
      <c r="H201" s="36"/>
    </row>
    <row r="202" spans="1:8" ht="12.75" customHeight="1">
      <c r="A202" s="22">
        <v>42768</v>
      </c>
      <c r="B202" s="22"/>
      <c r="C202" s="27">
        <f>ROUND(9.292,5)</f>
        <v>9.292</v>
      </c>
      <c r="D202" s="27">
        <f>F202</f>
        <v>9.37715</v>
      </c>
      <c r="E202" s="27">
        <f>F202</f>
        <v>9.37715</v>
      </c>
      <c r="F202" s="27">
        <f>ROUND(9.37715,5)</f>
        <v>9.37715</v>
      </c>
      <c r="G202" s="24"/>
      <c r="H202" s="36"/>
    </row>
    <row r="203" spans="1:8" ht="12.75" customHeight="1">
      <c r="A203" s="22">
        <v>42859</v>
      </c>
      <c r="B203" s="22"/>
      <c r="C203" s="27">
        <f>ROUND(9.292,5)</f>
        <v>9.292</v>
      </c>
      <c r="D203" s="27">
        <f>F203</f>
        <v>9.41155</v>
      </c>
      <c r="E203" s="27">
        <f>F203</f>
        <v>9.41155</v>
      </c>
      <c r="F203" s="27">
        <f>ROUND(9.41155,5)</f>
        <v>9.41155</v>
      </c>
      <c r="G203" s="24"/>
      <c r="H203" s="36"/>
    </row>
    <row r="204" spans="1:8" ht="12.75" customHeight="1">
      <c r="A204" s="22">
        <v>42950</v>
      </c>
      <c r="B204" s="22"/>
      <c r="C204" s="27">
        <f>ROUND(9.292,5)</f>
        <v>9.292</v>
      </c>
      <c r="D204" s="27">
        <f>F204</f>
        <v>9.43549</v>
      </c>
      <c r="E204" s="27">
        <f>F204</f>
        <v>9.43549</v>
      </c>
      <c r="F204" s="27">
        <f>ROUND(9.43549,5)</f>
        <v>9.43549</v>
      </c>
      <c r="G204" s="24"/>
      <c r="H204" s="36"/>
    </row>
    <row r="205" spans="1:8" ht="12.75" customHeight="1">
      <c r="A205" s="22">
        <v>43041</v>
      </c>
      <c r="B205" s="22"/>
      <c r="C205" s="27">
        <f>ROUND(9.292,5)</f>
        <v>9.292</v>
      </c>
      <c r="D205" s="27">
        <f>F205</f>
        <v>9.4774</v>
      </c>
      <c r="E205" s="27">
        <f>F205</f>
        <v>9.4774</v>
      </c>
      <c r="F205" s="27">
        <f>ROUND(9.4774,5)</f>
        <v>9.4774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42677</v>
      </c>
      <c r="B207" s="22"/>
      <c r="C207" s="27">
        <f>ROUND(9.495,5)</f>
        <v>9.495</v>
      </c>
      <c r="D207" s="27">
        <f>F207</f>
        <v>9.53002</v>
      </c>
      <c r="E207" s="27">
        <f>F207</f>
        <v>9.53002</v>
      </c>
      <c r="F207" s="27">
        <f>ROUND(9.53002,5)</f>
        <v>9.53002</v>
      </c>
      <c r="G207" s="24"/>
      <c r="H207" s="36"/>
    </row>
    <row r="208" spans="1:8" ht="12.75" customHeight="1">
      <c r="A208" s="22">
        <v>42768</v>
      </c>
      <c r="B208" s="22"/>
      <c r="C208" s="27">
        <f>ROUND(9.495,5)</f>
        <v>9.495</v>
      </c>
      <c r="D208" s="27">
        <f>F208</f>
        <v>9.57387</v>
      </c>
      <c r="E208" s="27">
        <f>F208</f>
        <v>9.57387</v>
      </c>
      <c r="F208" s="27">
        <f>ROUND(9.57387,5)</f>
        <v>9.57387</v>
      </c>
      <c r="G208" s="24"/>
      <c r="H208" s="36"/>
    </row>
    <row r="209" spans="1:8" ht="12.75" customHeight="1">
      <c r="A209" s="22">
        <v>42859</v>
      </c>
      <c r="B209" s="22"/>
      <c r="C209" s="27">
        <f>ROUND(9.495,5)</f>
        <v>9.495</v>
      </c>
      <c r="D209" s="27">
        <f>F209</f>
        <v>9.60682</v>
      </c>
      <c r="E209" s="27">
        <f>F209</f>
        <v>9.60682</v>
      </c>
      <c r="F209" s="27">
        <f>ROUND(9.60682,5)</f>
        <v>9.60682</v>
      </c>
      <c r="G209" s="24"/>
      <c r="H209" s="36"/>
    </row>
    <row r="210" spans="1:8" ht="12.75" customHeight="1">
      <c r="A210" s="22">
        <v>42950</v>
      </c>
      <c r="B210" s="22"/>
      <c r="C210" s="27">
        <f>ROUND(9.495,5)</f>
        <v>9.495</v>
      </c>
      <c r="D210" s="27">
        <f>F210</f>
        <v>9.63112</v>
      </c>
      <c r="E210" s="27">
        <f>F210</f>
        <v>9.63112</v>
      </c>
      <c r="F210" s="27">
        <f>ROUND(9.63112,5)</f>
        <v>9.63112</v>
      </c>
      <c r="G210" s="24"/>
      <c r="H210" s="36"/>
    </row>
    <row r="211" spans="1:8" ht="12.75" customHeight="1">
      <c r="A211" s="22">
        <v>43041</v>
      </c>
      <c r="B211" s="22"/>
      <c r="C211" s="27">
        <f>ROUND(9.495,5)</f>
        <v>9.495</v>
      </c>
      <c r="D211" s="27">
        <f>F211</f>
        <v>9.6699</v>
      </c>
      <c r="E211" s="27">
        <f>F211</f>
        <v>9.6699</v>
      </c>
      <c r="F211" s="27">
        <f>ROUND(9.6699,5)</f>
        <v>9.6699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42677</v>
      </c>
      <c r="B213" s="22"/>
      <c r="C213" s="27">
        <f>ROUND(9.525,5)</f>
        <v>9.525</v>
      </c>
      <c r="D213" s="27">
        <f>F213</f>
        <v>9.56073</v>
      </c>
      <c r="E213" s="27">
        <f>F213</f>
        <v>9.56073</v>
      </c>
      <c r="F213" s="27">
        <f>ROUND(9.56073,5)</f>
        <v>9.56073</v>
      </c>
      <c r="G213" s="24"/>
      <c r="H213" s="36"/>
    </row>
    <row r="214" spans="1:8" ht="12.75" customHeight="1">
      <c r="A214" s="22">
        <v>42768</v>
      </c>
      <c r="B214" s="22"/>
      <c r="C214" s="27">
        <f>ROUND(9.525,5)</f>
        <v>9.525</v>
      </c>
      <c r="D214" s="27">
        <f>F214</f>
        <v>9.60559</v>
      </c>
      <c r="E214" s="27">
        <f>F214</f>
        <v>9.60559</v>
      </c>
      <c r="F214" s="27">
        <f>ROUND(9.60559,5)</f>
        <v>9.60559</v>
      </c>
      <c r="G214" s="24"/>
      <c r="H214" s="36"/>
    </row>
    <row r="215" spans="1:8" ht="12.75" customHeight="1">
      <c r="A215" s="22">
        <v>42859</v>
      </c>
      <c r="B215" s="22"/>
      <c r="C215" s="27">
        <f>ROUND(9.525,5)</f>
        <v>9.525</v>
      </c>
      <c r="D215" s="27">
        <f>F215</f>
        <v>9.63947</v>
      </c>
      <c r="E215" s="27">
        <f>F215</f>
        <v>9.63947</v>
      </c>
      <c r="F215" s="27">
        <f>ROUND(9.63947,5)</f>
        <v>9.63947</v>
      </c>
      <c r="G215" s="24"/>
      <c r="H215" s="36"/>
    </row>
    <row r="216" spans="1:8" ht="12.75" customHeight="1">
      <c r="A216" s="22">
        <v>42950</v>
      </c>
      <c r="B216" s="22"/>
      <c r="C216" s="27">
        <f>ROUND(9.525,5)</f>
        <v>9.525</v>
      </c>
      <c r="D216" s="27">
        <f>F216</f>
        <v>9.66469</v>
      </c>
      <c r="E216" s="27">
        <f>F216</f>
        <v>9.66469</v>
      </c>
      <c r="F216" s="27">
        <f>ROUND(9.66469,5)</f>
        <v>9.66469</v>
      </c>
      <c r="G216" s="24"/>
      <c r="H216" s="36"/>
    </row>
    <row r="217" spans="1:8" ht="12.75" customHeight="1">
      <c r="A217" s="22">
        <v>43041</v>
      </c>
      <c r="B217" s="22"/>
      <c r="C217" s="27">
        <f>ROUND(9.525,5)</f>
        <v>9.525</v>
      </c>
      <c r="D217" s="27">
        <f>F217</f>
        <v>9.70447</v>
      </c>
      <c r="E217" s="27">
        <f>F217</f>
        <v>9.70447</v>
      </c>
      <c r="F217" s="27">
        <f>ROUND(9.70447,5)</f>
        <v>9.70447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42643</v>
      </c>
      <c r="B219" s="22"/>
      <c r="C219" s="25">
        <f>ROUND(16.140750847619,4)</f>
        <v>16.1408</v>
      </c>
      <c r="D219" s="25">
        <f>F219</f>
        <v>16.2508</v>
      </c>
      <c r="E219" s="25">
        <f>F219</f>
        <v>16.2508</v>
      </c>
      <c r="F219" s="25">
        <f>ROUND(16.2508,4)</f>
        <v>16.2508</v>
      </c>
      <c r="G219" s="24"/>
      <c r="H219" s="36"/>
    </row>
    <row r="220" spans="1:8" ht="12.75" customHeight="1">
      <c r="A220" s="22">
        <v>42702</v>
      </c>
      <c r="B220" s="22"/>
      <c r="C220" s="25">
        <f>ROUND(16.140750847619,4)</f>
        <v>16.1408</v>
      </c>
      <c r="D220" s="25">
        <f>F220</f>
        <v>16.4844</v>
      </c>
      <c r="E220" s="25">
        <f>F220</f>
        <v>16.4844</v>
      </c>
      <c r="F220" s="25">
        <f>ROUND(16.4844,4)</f>
        <v>16.4844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42613</v>
      </c>
      <c r="B222" s="22"/>
      <c r="C222" s="25">
        <f>ROUND(18.9608653047619,4)</f>
        <v>18.9609</v>
      </c>
      <c r="D222" s="25">
        <f>F222</f>
        <v>18.9655</v>
      </c>
      <c r="E222" s="25">
        <f>F222</f>
        <v>18.9655</v>
      </c>
      <c r="F222" s="25">
        <f>ROUND(18.9655,4)</f>
        <v>18.9655</v>
      </c>
      <c r="G222" s="24"/>
      <c r="H222" s="36"/>
    </row>
    <row r="223" spans="1:8" ht="12.75" customHeight="1">
      <c r="A223" s="22">
        <v>42621</v>
      </c>
      <c r="B223" s="22"/>
      <c r="C223" s="25">
        <f>ROUND(18.9608653047619,4)</f>
        <v>18.9609</v>
      </c>
      <c r="D223" s="25">
        <f>F223</f>
        <v>18.9862</v>
      </c>
      <c r="E223" s="25">
        <f>F223</f>
        <v>18.9862</v>
      </c>
      <c r="F223" s="25">
        <f>ROUND(18.9862,4)</f>
        <v>18.9862</v>
      </c>
      <c r="G223" s="24"/>
      <c r="H223" s="36"/>
    </row>
    <row r="224" spans="1:8" ht="12.75" customHeight="1">
      <c r="A224" s="22">
        <v>42648</v>
      </c>
      <c r="B224" s="22"/>
      <c r="C224" s="25">
        <f>ROUND(18.9608653047619,4)</f>
        <v>18.9609</v>
      </c>
      <c r="D224" s="25">
        <f>F224</f>
        <v>19.1054</v>
      </c>
      <c r="E224" s="25">
        <f>F224</f>
        <v>19.1054</v>
      </c>
      <c r="F224" s="25">
        <f>ROUND(19.1054,4)</f>
        <v>19.1054</v>
      </c>
      <c r="G224" s="24"/>
      <c r="H224" s="36"/>
    </row>
    <row r="225" spans="1:8" ht="12.75" customHeight="1">
      <c r="A225" s="22">
        <v>42850</v>
      </c>
      <c r="B225" s="22"/>
      <c r="C225" s="25">
        <f>ROUND(18.9608653047619,4)</f>
        <v>18.9609</v>
      </c>
      <c r="D225" s="25">
        <f>F225</f>
        <v>19.9653</v>
      </c>
      <c r="E225" s="25">
        <f>F225</f>
        <v>19.9653</v>
      </c>
      <c r="F225" s="25">
        <f>ROUND(19.9653,4)</f>
        <v>19.9653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42613</v>
      </c>
      <c r="B227" s="22"/>
      <c r="C227" s="25">
        <f>ROUND(14.4670714285714,4)</f>
        <v>14.4671</v>
      </c>
      <c r="D227" s="25">
        <f>F227</f>
        <v>14.4699</v>
      </c>
      <c r="E227" s="25">
        <f>F227</f>
        <v>14.4699</v>
      </c>
      <c r="F227" s="25">
        <f>ROUND(14.4699,4)</f>
        <v>14.4699</v>
      </c>
      <c r="G227" s="24"/>
      <c r="H227" s="36"/>
    </row>
    <row r="228" spans="1:8" ht="12.75" customHeight="1">
      <c r="A228" s="22">
        <v>42614</v>
      </c>
      <c r="B228" s="22"/>
      <c r="C228" s="25">
        <f>ROUND(14.4670714285714,4)</f>
        <v>14.4671</v>
      </c>
      <c r="D228" s="25">
        <f>F228</f>
        <v>14.4699</v>
      </c>
      <c r="E228" s="25">
        <f>F228</f>
        <v>14.4699</v>
      </c>
      <c r="F228" s="25">
        <f>ROUND(14.4699,4)</f>
        <v>14.4699</v>
      </c>
      <c r="G228" s="24"/>
      <c r="H228" s="36"/>
    </row>
    <row r="229" spans="1:8" ht="12.75" customHeight="1">
      <c r="A229" s="22">
        <v>42618</v>
      </c>
      <c r="B229" s="22"/>
      <c r="C229" s="25">
        <f>ROUND(14.4670714285714,4)</f>
        <v>14.4671</v>
      </c>
      <c r="D229" s="25">
        <f>F229</f>
        <v>14.4774</v>
      </c>
      <c r="E229" s="25">
        <f>F229</f>
        <v>14.4774</v>
      </c>
      <c r="F229" s="25">
        <f>ROUND(14.4774,4)</f>
        <v>14.4774</v>
      </c>
      <c r="G229" s="24"/>
      <c r="H229" s="36"/>
    </row>
    <row r="230" spans="1:8" ht="12.75" customHeight="1">
      <c r="A230" s="22">
        <v>42619</v>
      </c>
      <c r="B230" s="22"/>
      <c r="C230" s="25">
        <f>ROUND(14.4670714285714,4)</f>
        <v>14.4671</v>
      </c>
      <c r="D230" s="25">
        <f>F230</f>
        <v>14.4799</v>
      </c>
      <c r="E230" s="25">
        <f>F230</f>
        <v>14.4799</v>
      </c>
      <c r="F230" s="25">
        <f>ROUND(14.4799,4)</f>
        <v>14.4799</v>
      </c>
      <c r="G230" s="24"/>
      <c r="H230" s="36"/>
    </row>
    <row r="231" spans="1:8" ht="12.75" customHeight="1">
      <c r="A231" s="22">
        <v>42621</v>
      </c>
      <c r="B231" s="22"/>
      <c r="C231" s="25">
        <f>ROUND(14.4670714285714,4)</f>
        <v>14.4671</v>
      </c>
      <c r="D231" s="25">
        <f>F231</f>
        <v>14.4849</v>
      </c>
      <c r="E231" s="25">
        <f>F231</f>
        <v>14.4849</v>
      </c>
      <c r="F231" s="25">
        <f>ROUND(14.4849,4)</f>
        <v>14.4849</v>
      </c>
      <c r="G231" s="24"/>
      <c r="H231" s="36"/>
    </row>
    <row r="232" spans="1:8" ht="12.75" customHeight="1">
      <c r="A232" s="22">
        <v>42622</v>
      </c>
      <c r="B232" s="22"/>
      <c r="C232" s="25">
        <f>ROUND(14.4670714285714,4)</f>
        <v>14.4671</v>
      </c>
      <c r="D232" s="25">
        <f>F232</f>
        <v>14.4874</v>
      </c>
      <c r="E232" s="25">
        <f>F232</f>
        <v>14.4874</v>
      </c>
      <c r="F232" s="25">
        <f>ROUND(14.4874,4)</f>
        <v>14.4874</v>
      </c>
      <c r="G232" s="24"/>
      <c r="H232" s="36"/>
    </row>
    <row r="233" spans="1:8" ht="12.75" customHeight="1">
      <c r="A233" s="22">
        <v>42626</v>
      </c>
      <c r="B233" s="22"/>
      <c r="C233" s="25">
        <f>ROUND(14.4670714285714,4)</f>
        <v>14.4671</v>
      </c>
      <c r="D233" s="25">
        <f>F233</f>
        <v>14.4994</v>
      </c>
      <c r="E233" s="25">
        <f>F233</f>
        <v>14.4994</v>
      </c>
      <c r="F233" s="25">
        <f>ROUND(14.4994,4)</f>
        <v>14.4994</v>
      </c>
      <c r="G233" s="24"/>
      <c r="H233" s="36"/>
    </row>
    <row r="234" spans="1:8" ht="12.75" customHeight="1">
      <c r="A234" s="22">
        <v>42628</v>
      </c>
      <c r="B234" s="22"/>
      <c r="C234" s="25">
        <f>ROUND(14.4670714285714,4)</f>
        <v>14.4671</v>
      </c>
      <c r="D234" s="25">
        <f>F234</f>
        <v>14.5054</v>
      </c>
      <c r="E234" s="25">
        <f>F234</f>
        <v>14.5054</v>
      </c>
      <c r="F234" s="25">
        <f>ROUND(14.5054,4)</f>
        <v>14.5054</v>
      </c>
      <c r="G234" s="24"/>
      <c r="H234" s="36"/>
    </row>
    <row r="235" spans="1:8" ht="12.75" customHeight="1">
      <c r="A235" s="22">
        <v>42635</v>
      </c>
      <c r="B235" s="22"/>
      <c r="C235" s="25">
        <f>ROUND(14.4670714285714,4)</f>
        <v>14.4671</v>
      </c>
      <c r="D235" s="25">
        <f>F235</f>
        <v>14.5264</v>
      </c>
      <c r="E235" s="25">
        <f>F235</f>
        <v>14.5264</v>
      </c>
      <c r="F235" s="25">
        <f>ROUND(14.5264,4)</f>
        <v>14.5264</v>
      </c>
      <c r="G235" s="24"/>
      <c r="H235" s="36"/>
    </row>
    <row r="236" spans="1:8" ht="12.75" customHeight="1">
      <c r="A236" s="22">
        <v>42640</v>
      </c>
      <c r="B236" s="22"/>
      <c r="C236" s="25">
        <f>ROUND(14.4670714285714,4)</f>
        <v>14.4671</v>
      </c>
      <c r="D236" s="25">
        <f>F236</f>
        <v>14.5414</v>
      </c>
      <c r="E236" s="25">
        <f>F236</f>
        <v>14.5414</v>
      </c>
      <c r="F236" s="25">
        <f>ROUND(14.5414,4)</f>
        <v>14.5414</v>
      </c>
      <c r="G236" s="24"/>
      <c r="H236" s="36"/>
    </row>
    <row r="237" spans="1:8" ht="12.75" customHeight="1">
      <c r="A237" s="22">
        <v>42641</v>
      </c>
      <c r="B237" s="22"/>
      <c r="C237" s="25">
        <f>ROUND(14.4670714285714,4)</f>
        <v>14.4671</v>
      </c>
      <c r="D237" s="25">
        <f>F237</f>
        <v>14.5444</v>
      </c>
      <c r="E237" s="25">
        <f>F237</f>
        <v>14.5444</v>
      </c>
      <c r="F237" s="25">
        <f>ROUND(14.5444,4)</f>
        <v>14.5444</v>
      </c>
      <c r="G237" s="24"/>
      <c r="H237" s="36"/>
    </row>
    <row r="238" spans="1:8" ht="12.75" customHeight="1">
      <c r="A238" s="22">
        <v>42642</v>
      </c>
      <c r="B238" s="22"/>
      <c r="C238" s="25">
        <f>ROUND(14.4670714285714,4)</f>
        <v>14.4671</v>
      </c>
      <c r="D238" s="25">
        <f>F238</f>
        <v>14.5474</v>
      </c>
      <c r="E238" s="25">
        <f>F238</f>
        <v>14.5474</v>
      </c>
      <c r="F238" s="25">
        <f>ROUND(14.5474,4)</f>
        <v>14.5474</v>
      </c>
      <c r="G238" s="24"/>
      <c r="H238" s="36"/>
    </row>
    <row r="239" spans="1:8" ht="12.75" customHeight="1">
      <c r="A239" s="22">
        <v>42643</v>
      </c>
      <c r="B239" s="22"/>
      <c r="C239" s="25">
        <f>ROUND(14.4670714285714,4)</f>
        <v>14.4671</v>
      </c>
      <c r="D239" s="25">
        <f>F239</f>
        <v>14.5504</v>
      </c>
      <c r="E239" s="25">
        <f>F239</f>
        <v>14.5504</v>
      </c>
      <c r="F239" s="25">
        <f>ROUND(14.5504,4)</f>
        <v>14.5504</v>
      </c>
      <c r="G239" s="24"/>
      <c r="H239" s="36"/>
    </row>
    <row r="240" spans="1:8" ht="12.75" customHeight="1">
      <c r="A240" s="22">
        <v>42648</v>
      </c>
      <c r="B240" s="22"/>
      <c r="C240" s="25">
        <f>ROUND(14.4670714285714,4)</f>
        <v>14.4671</v>
      </c>
      <c r="D240" s="25">
        <f>F240</f>
        <v>14.5652</v>
      </c>
      <c r="E240" s="25">
        <f>F240</f>
        <v>14.5652</v>
      </c>
      <c r="F240" s="25">
        <f>ROUND(14.5652,4)</f>
        <v>14.5652</v>
      </c>
      <c r="G240" s="24"/>
      <c r="H240" s="36"/>
    </row>
    <row r="241" spans="1:8" ht="12.75" customHeight="1">
      <c r="A241" s="22">
        <v>42657</v>
      </c>
      <c r="B241" s="22"/>
      <c r="C241" s="25">
        <f>ROUND(14.4670714285714,4)</f>
        <v>14.4671</v>
      </c>
      <c r="D241" s="25">
        <f>F241</f>
        <v>14.5912</v>
      </c>
      <c r="E241" s="25">
        <f>F241</f>
        <v>14.5912</v>
      </c>
      <c r="F241" s="25">
        <f>ROUND(14.5912,4)</f>
        <v>14.5912</v>
      </c>
      <c r="G241" s="24"/>
      <c r="H241" s="36"/>
    </row>
    <row r="242" spans="1:8" ht="12.75" customHeight="1">
      <c r="A242" s="22">
        <v>42662</v>
      </c>
      <c r="B242" s="22"/>
      <c r="C242" s="25">
        <f>ROUND(14.4670714285714,4)</f>
        <v>14.4671</v>
      </c>
      <c r="D242" s="25">
        <f>F242</f>
        <v>14.6057</v>
      </c>
      <c r="E242" s="25">
        <f>F242</f>
        <v>14.6057</v>
      </c>
      <c r="F242" s="25">
        <f>ROUND(14.6057,4)</f>
        <v>14.6057</v>
      </c>
      <c r="G242" s="24"/>
      <c r="H242" s="36"/>
    </row>
    <row r="243" spans="1:8" ht="12.75" customHeight="1">
      <c r="A243" s="22">
        <v>42669</v>
      </c>
      <c r="B243" s="22"/>
      <c r="C243" s="25">
        <f>ROUND(14.4670714285714,4)</f>
        <v>14.4671</v>
      </c>
      <c r="D243" s="25">
        <f>F243</f>
        <v>14.626</v>
      </c>
      <c r="E243" s="25">
        <f>F243</f>
        <v>14.626</v>
      </c>
      <c r="F243" s="25">
        <f>ROUND(14.626,4)</f>
        <v>14.626</v>
      </c>
      <c r="G243" s="24"/>
      <c r="H243" s="36"/>
    </row>
    <row r="244" spans="1:8" ht="12.75" customHeight="1">
      <c r="A244" s="22">
        <v>42670</v>
      </c>
      <c r="B244" s="22"/>
      <c r="C244" s="25">
        <f>ROUND(14.4670714285714,4)</f>
        <v>14.4671</v>
      </c>
      <c r="D244" s="25">
        <f>F244</f>
        <v>14.6289</v>
      </c>
      <c r="E244" s="25">
        <f>F244</f>
        <v>14.6289</v>
      </c>
      <c r="F244" s="25">
        <f>ROUND(14.6289,4)</f>
        <v>14.6289</v>
      </c>
      <c r="G244" s="24"/>
      <c r="H244" s="36"/>
    </row>
    <row r="245" spans="1:8" ht="12.75" customHeight="1">
      <c r="A245" s="22">
        <v>42681</v>
      </c>
      <c r="B245" s="22"/>
      <c r="C245" s="25">
        <f>ROUND(14.4670714285714,4)</f>
        <v>14.4671</v>
      </c>
      <c r="D245" s="25">
        <f>F245</f>
        <v>14.6602</v>
      </c>
      <c r="E245" s="25">
        <f>F245</f>
        <v>14.6602</v>
      </c>
      <c r="F245" s="25">
        <f>ROUND(14.6602,4)</f>
        <v>14.6602</v>
      </c>
      <c r="G245" s="24"/>
      <c r="H245" s="36"/>
    </row>
    <row r="246" spans="1:8" ht="12.75" customHeight="1">
      <c r="A246" s="22">
        <v>42684</v>
      </c>
      <c r="B246" s="22"/>
      <c r="C246" s="25">
        <f>ROUND(14.4670714285714,4)</f>
        <v>14.4671</v>
      </c>
      <c r="D246" s="25">
        <f>F246</f>
        <v>14.6687</v>
      </c>
      <c r="E246" s="25">
        <f>F246</f>
        <v>14.6687</v>
      </c>
      <c r="F246" s="25">
        <f>ROUND(14.6687,4)</f>
        <v>14.6687</v>
      </c>
      <c r="G246" s="24"/>
      <c r="H246" s="36"/>
    </row>
    <row r="247" spans="1:8" ht="12.75" customHeight="1">
      <c r="A247" s="22">
        <v>42691</v>
      </c>
      <c r="B247" s="22"/>
      <c r="C247" s="25">
        <f>ROUND(14.4670714285714,4)</f>
        <v>14.4671</v>
      </c>
      <c r="D247" s="25">
        <f>F247</f>
        <v>14.6884</v>
      </c>
      <c r="E247" s="25">
        <f>F247</f>
        <v>14.6884</v>
      </c>
      <c r="F247" s="25">
        <f>ROUND(14.6884,4)</f>
        <v>14.6884</v>
      </c>
      <c r="G247" s="24"/>
      <c r="H247" s="36"/>
    </row>
    <row r="248" spans="1:8" ht="12.75" customHeight="1">
      <c r="A248" s="22">
        <v>42702</v>
      </c>
      <c r="B248" s="22"/>
      <c r="C248" s="25">
        <f>ROUND(14.4670714285714,4)</f>
        <v>14.4671</v>
      </c>
      <c r="D248" s="25">
        <f>F248</f>
        <v>14.7194</v>
      </c>
      <c r="E248" s="25">
        <f>F248</f>
        <v>14.7194</v>
      </c>
      <c r="F248" s="25">
        <f>ROUND(14.7194,4)</f>
        <v>14.7194</v>
      </c>
      <c r="G248" s="24"/>
      <c r="H248" s="36"/>
    </row>
    <row r="249" spans="1:8" ht="12.75" customHeight="1">
      <c r="A249" s="22">
        <v>42717</v>
      </c>
      <c r="B249" s="22"/>
      <c r="C249" s="25">
        <f>ROUND(14.4670714285714,4)</f>
        <v>14.4671</v>
      </c>
      <c r="D249" s="25">
        <f>F249</f>
        <v>14.7627</v>
      </c>
      <c r="E249" s="25">
        <f>F249</f>
        <v>14.7627</v>
      </c>
      <c r="F249" s="25">
        <f>ROUND(14.7627,4)</f>
        <v>14.7627</v>
      </c>
      <c r="G249" s="24"/>
      <c r="H249" s="36"/>
    </row>
    <row r="250" spans="1:8" ht="12.75" customHeight="1">
      <c r="A250" s="22">
        <v>42718</v>
      </c>
      <c r="B250" s="22"/>
      <c r="C250" s="25">
        <f>ROUND(14.4670714285714,4)</f>
        <v>14.4671</v>
      </c>
      <c r="D250" s="25">
        <f>F250</f>
        <v>14.7656</v>
      </c>
      <c r="E250" s="25">
        <f>F250</f>
        <v>14.7656</v>
      </c>
      <c r="F250" s="25">
        <f>ROUND(14.7656,4)</f>
        <v>14.7656</v>
      </c>
      <c r="G250" s="24"/>
      <c r="H250" s="36"/>
    </row>
    <row r="251" spans="1:8" ht="12.75" customHeight="1">
      <c r="A251" s="22">
        <v>42748</v>
      </c>
      <c r="B251" s="22"/>
      <c r="C251" s="25">
        <f>ROUND(14.4670714285714,4)</f>
        <v>14.4671</v>
      </c>
      <c r="D251" s="25">
        <f>F251</f>
        <v>14.8528</v>
      </c>
      <c r="E251" s="25">
        <f>F251</f>
        <v>14.8528</v>
      </c>
      <c r="F251" s="25">
        <f>ROUND(14.8528,4)</f>
        <v>14.8528</v>
      </c>
      <c r="G251" s="24"/>
      <c r="H251" s="36"/>
    </row>
    <row r="252" spans="1:8" ht="12.75" customHeight="1">
      <c r="A252" s="22">
        <v>42760</v>
      </c>
      <c r="B252" s="22"/>
      <c r="C252" s="25">
        <f>ROUND(14.4670714285714,4)</f>
        <v>14.4671</v>
      </c>
      <c r="D252" s="25">
        <f>F252</f>
        <v>14.8877</v>
      </c>
      <c r="E252" s="25">
        <f>F252</f>
        <v>14.8877</v>
      </c>
      <c r="F252" s="25">
        <f>ROUND(14.8877,4)</f>
        <v>14.8877</v>
      </c>
      <c r="G252" s="24"/>
      <c r="H252" s="36"/>
    </row>
    <row r="253" spans="1:8" ht="12.75" customHeight="1">
      <c r="A253" s="22">
        <v>42837</v>
      </c>
      <c r="B253" s="22"/>
      <c r="C253" s="25">
        <f>ROUND(14.4670714285714,4)</f>
        <v>14.4671</v>
      </c>
      <c r="D253" s="25">
        <f>F253</f>
        <v>15.1124</v>
      </c>
      <c r="E253" s="25">
        <f>F253</f>
        <v>15.1124</v>
      </c>
      <c r="F253" s="25">
        <f>ROUND(15.1124,4)</f>
        <v>15.1124</v>
      </c>
      <c r="G253" s="24"/>
      <c r="H253" s="36"/>
    </row>
    <row r="254" spans="1:8" ht="12.75" customHeight="1">
      <c r="A254" s="22">
        <v>42850</v>
      </c>
      <c r="B254" s="22"/>
      <c r="C254" s="25">
        <f>ROUND(14.4670714285714,4)</f>
        <v>14.4671</v>
      </c>
      <c r="D254" s="25">
        <f>F254</f>
        <v>15.1505</v>
      </c>
      <c r="E254" s="25">
        <f>F254</f>
        <v>15.1505</v>
      </c>
      <c r="F254" s="25">
        <f>ROUND(15.1505,4)</f>
        <v>15.1505</v>
      </c>
      <c r="G254" s="24"/>
      <c r="H254" s="36"/>
    </row>
    <row r="255" spans="1:8" ht="12.75" customHeight="1">
      <c r="A255" s="22">
        <v>42928</v>
      </c>
      <c r="B255" s="22"/>
      <c r="C255" s="25">
        <f>ROUND(14.4670714285714,4)</f>
        <v>14.4671</v>
      </c>
      <c r="D255" s="25">
        <f>F255</f>
        <v>15.3822</v>
      </c>
      <c r="E255" s="25">
        <f>F255</f>
        <v>15.3822</v>
      </c>
      <c r="F255" s="25">
        <f>ROUND(15.3822,4)</f>
        <v>15.3822</v>
      </c>
      <c r="G255" s="24"/>
      <c r="H255" s="36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42632</v>
      </c>
      <c r="B257" s="22"/>
      <c r="C257" s="25">
        <f>ROUND(1.11568888888889,4)</f>
        <v>1.1157</v>
      </c>
      <c r="D257" s="25">
        <f>F257</f>
        <v>1.1163</v>
      </c>
      <c r="E257" s="25">
        <f>F257</f>
        <v>1.1163</v>
      </c>
      <c r="F257" s="25">
        <f>ROUND(1.1163,4)</f>
        <v>1.1163</v>
      </c>
      <c r="G257" s="24"/>
      <c r="H257" s="36"/>
    </row>
    <row r="258" spans="1:8" ht="12.75" customHeight="1">
      <c r="A258" s="22">
        <v>42723</v>
      </c>
      <c r="B258" s="22"/>
      <c r="C258" s="25">
        <f>ROUND(1.11568888888889,4)</f>
        <v>1.1157</v>
      </c>
      <c r="D258" s="25">
        <f>F258</f>
        <v>1.1212</v>
      </c>
      <c r="E258" s="25">
        <f>F258</f>
        <v>1.1212</v>
      </c>
      <c r="F258" s="25">
        <f>ROUND(1.1212,4)</f>
        <v>1.1212</v>
      </c>
      <c r="G258" s="24"/>
      <c r="H258" s="36"/>
    </row>
    <row r="259" spans="1:8" ht="12.75" customHeight="1">
      <c r="A259" s="22">
        <v>42807</v>
      </c>
      <c r="B259" s="22"/>
      <c r="C259" s="25">
        <f>ROUND(1.11568888888889,4)</f>
        <v>1.1157</v>
      </c>
      <c r="D259" s="25">
        <f>F259</f>
        <v>1.1257</v>
      </c>
      <c r="E259" s="25">
        <f>F259</f>
        <v>1.1257</v>
      </c>
      <c r="F259" s="25">
        <f>ROUND(1.1257,4)</f>
        <v>1.1257</v>
      </c>
      <c r="G259" s="24"/>
      <c r="H259" s="36"/>
    </row>
    <row r="260" spans="1:8" ht="12.75" customHeight="1">
      <c r="A260" s="22">
        <v>42905</v>
      </c>
      <c r="B260" s="22"/>
      <c r="C260" s="25">
        <f>ROUND(1.11568888888889,4)</f>
        <v>1.1157</v>
      </c>
      <c r="D260" s="25">
        <f>F260</f>
        <v>1.1311</v>
      </c>
      <c r="E260" s="25">
        <f>F260</f>
        <v>1.1311</v>
      </c>
      <c r="F260" s="25">
        <f>ROUND(1.1311,4)</f>
        <v>1.1311</v>
      </c>
      <c r="G260" s="24"/>
      <c r="H260" s="36"/>
    </row>
    <row r="261" spans="1:8" ht="12.75" customHeight="1">
      <c r="A261" s="22" t="s">
        <v>64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ROUND(25270.72,4)</f>
        <v>25270.72</v>
      </c>
      <c r="D262" s="25">
        <f>F262</f>
        <v>25320.87</v>
      </c>
      <c r="E262" s="25">
        <f>F262</f>
        <v>25320.87</v>
      </c>
      <c r="F262" s="25">
        <f>ROUND(25320.87,4)</f>
        <v>25320.87</v>
      </c>
      <c r="G262" s="24"/>
      <c r="H262" s="36"/>
    </row>
    <row r="263" spans="1:8" ht="12.75" customHeight="1">
      <c r="A263" s="22">
        <v>42723</v>
      </c>
      <c r="B263" s="22"/>
      <c r="C263" s="25">
        <f>ROUND(25270.72,4)</f>
        <v>25270.72</v>
      </c>
      <c r="D263" s="25">
        <f>F263</f>
        <v>25811.79</v>
      </c>
      <c r="E263" s="25">
        <f>F263</f>
        <v>25811.79</v>
      </c>
      <c r="F263" s="25">
        <f>ROUND(25811.79,4)</f>
        <v>25811.79</v>
      </c>
      <c r="G263" s="24"/>
      <c r="H263" s="36"/>
    </row>
    <row r="264" spans="1:8" ht="12.75" customHeight="1">
      <c r="A264" s="22">
        <v>42807</v>
      </c>
      <c r="B264" s="22"/>
      <c r="C264" s="25">
        <f>ROUND(25270.72,4)</f>
        <v>25270.72</v>
      </c>
      <c r="D264" s="25">
        <f>F264</f>
        <v>26265.89</v>
      </c>
      <c r="E264" s="25">
        <f>F264</f>
        <v>26265.89</v>
      </c>
      <c r="F264" s="25">
        <f>ROUND(26265.89,4)</f>
        <v>26265.89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ROUND(10.9068155691964,4)</f>
        <v>10.9068</v>
      </c>
      <c r="D266" s="25">
        <f>F266</f>
        <v>10.9409</v>
      </c>
      <c r="E266" s="25">
        <f>F266</f>
        <v>10.9409</v>
      </c>
      <c r="F266" s="25">
        <f>ROUND(10.9409,4)</f>
        <v>10.9409</v>
      </c>
      <c r="G266" s="24"/>
      <c r="H266" s="36"/>
    </row>
    <row r="267" spans="1:8" ht="12.75" customHeight="1">
      <c r="A267" s="22">
        <v>42723</v>
      </c>
      <c r="B267" s="22"/>
      <c r="C267" s="25">
        <f>ROUND(10.9068155691964,4)</f>
        <v>10.9068</v>
      </c>
      <c r="D267" s="25">
        <f>F267</f>
        <v>11.1135</v>
      </c>
      <c r="E267" s="25">
        <f>F267</f>
        <v>11.1135</v>
      </c>
      <c r="F267" s="25">
        <f>ROUND(11.1135,4)</f>
        <v>11.1135</v>
      </c>
      <c r="G267" s="24"/>
      <c r="H267" s="36"/>
    </row>
    <row r="268" spans="1:8" ht="12.75" customHeight="1">
      <c r="A268" s="22">
        <v>42807</v>
      </c>
      <c r="B268" s="22"/>
      <c r="C268" s="25">
        <f>ROUND(10.9068155691964,4)</f>
        <v>10.9068</v>
      </c>
      <c r="D268" s="25">
        <f>F268</f>
        <v>11.2776</v>
      </c>
      <c r="E268" s="25">
        <f>F268</f>
        <v>11.2776</v>
      </c>
      <c r="F268" s="25">
        <f>ROUND(11.2776,4)</f>
        <v>11.2776</v>
      </c>
      <c r="G268" s="24"/>
      <c r="H268" s="36"/>
    </row>
    <row r="269" spans="1:8" ht="12.75" customHeight="1">
      <c r="A269" s="22">
        <v>42905</v>
      </c>
      <c r="B269" s="22"/>
      <c r="C269" s="25">
        <f>ROUND(10.9068155691964,4)</f>
        <v>10.9068</v>
      </c>
      <c r="D269" s="25">
        <f>F269</f>
        <v>11.4727</v>
      </c>
      <c r="E269" s="25">
        <f>F269</f>
        <v>11.4727</v>
      </c>
      <c r="F269" s="25">
        <f>ROUND(11.4727,4)</f>
        <v>11.4727</v>
      </c>
      <c r="G269" s="24"/>
      <c r="H269" s="36"/>
    </row>
    <row r="270" spans="1:8" ht="12.75" customHeight="1">
      <c r="A270" s="22">
        <v>42996</v>
      </c>
      <c r="B270" s="22"/>
      <c r="C270" s="25">
        <f>ROUND(10.9068155691964,4)</f>
        <v>10.9068</v>
      </c>
      <c r="D270" s="25">
        <f>F270</f>
        <v>11.6523</v>
      </c>
      <c r="E270" s="25">
        <f>F270</f>
        <v>11.6523</v>
      </c>
      <c r="F270" s="25">
        <f>ROUND(11.6523,4)</f>
        <v>11.6523</v>
      </c>
      <c r="G270" s="24"/>
      <c r="H270" s="36"/>
    </row>
    <row r="271" spans="1:8" ht="12.75" customHeight="1">
      <c r="A271" s="22">
        <v>43087</v>
      </c>
      <c r="B271" s="22"/>
      <c r="C271" s="25">
        <f>ROUND(10.9068155691964,4)</f>
        <v>10.9068</v>
      </c>
      <c r="D271" s="25">
        <f>F271</f>
        <v>11.8046</v>
      </c>
      <c r="E271" s="25">
        <f>F271</f>
        <v>11.8046</v>
      </c>
      <c r="F271" s="25">
        <f>ROUND(11.8046,4)</f>
        <v>11.8046</v>
      </c>
      <c r="G271" s="24"/>
      <c r="H271" s="36"/>
    </row>
    <row r="272" spans="1:8" ht="12.75" customHeight="1">
      <c r="A272" s="22">
        <v>43178</v>
      </c>
      <c r="B272" s="22"/>
      <c r="C272" s="25">
        <f>ROUND(10.9068155691964,4)</f>
        <v>10.9068</v>
      </c>
      <c r="D272" s="25">
        <f>F272</f>
        <v>12.4648</v>
      </c>
      <c r="E272" s="25">
        <f>F272</f>
        <v>12.4648</v>
      </c>
      <c r="F272" s="25">
        <f>ROUND(12.4648,4)</f>
        <v>12.4648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5">
        <f>ROUND(11.0858784893268,4)</f>
        <v>11.0859</v>
      </c>
      <c r="D274" s="25">
        <f>F274</f>
        <v>11.1251</v>
      </c>
      <c r="E274" s="25">
        <f>F274</f>
        <v>11.1251</v>
      </c>
      <c r="F274" s="25">
        <f>ROUND(11.1251,4)</f>
        <v>11.1251</v>
      </c>
      <c r="G274" s="24"/>
      <c r="H274" s="36"/>
    </row>
    <row r="275" spans="1:8" ht="12.75" customHeight="1">
      <c r="A275" s="22">
        <v>42723</v>
      </c>
      <c r="B275" s="22"/>
      <c r="C275" s="25">
        <f>ROUND(11.0858784893268,4)</f>
        <v>11.0859</v>
      </c>
      <c r="D275" s="25">
        <f>F275</f>
        <v>11.332</v>
      </c>
      <c r="E275" s="25">
        <f>F275</f>
        <v>11.332</v>
      </c>
      <c r="F275" s="25">
        <f>ROUND(11.332,4)</f>
        <v>11.332</v>
      </c>
      <c r="G275" s="24"/>
      <c r="H275" s="36"/>
    </row>
    <row r="276" spans="1:8" ht="12.75" customHeight="1">
      <c r="A276" s="22">
        <v>42807</v>
      </c>
      <c r="B276" s="22"/>
      <c r="C276" s="25">
        <f>ROUND(11.0858784893268,4)</f>
        <v>11.0859</v>
      </c>
      <c r="D276" s="25">
        <f>F276</f>
        <v>11.5254</v>
      </c>
      <c r="E276" s="25">
        <f>F276</f>
        <v>11.5254</v>
      </c>
      <c r="F276" s="25">
        <f>ROUND(11.5254,4)</f>
        <v>11.5254</v>
      </c>
      <c r="G276" s="24"/>
      <c r="H276" s="36"/>
    </row>
    <row r="277" spans="1:8" ht="12.75" customHeight="1">
      <c r="A277" s="22">
        <v>42905</v>
      </c>
      <c r="B277" s="22"/>
      <c r="C277" s="25">
        <f>ROUND(11.0858784893268,4)</f>
        <v>11.0859</v>
      </c>
      <c r="D277" s="25">
        <f>F277</f>
        <v>11.7542</v>
      </c>
      <c r="E277" s="25">
        <f>F277</f>
        <v>11.7542</v>
      </c>
      <c r="F277" s="25">
        <f>ROUND(11.7542,4)</f>
        <v>11.7542</v>
      </c>
      <c r="G277" s="24"/>
      <c r="H277" s="36"/>
    </row>
    <row r="278" spans="1:8" ht="12.75" customHeight="1">
      <c r="A278" s="22" t="s">
        <v>67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ROUND(2.16949608464343,4)</f>
        <v>2.1695</v>
      </c>
      <c r="D279" s="25">
        <f>F279</f>
        <v>2.1685</v>
      </c>
      <c r="E279" s="25">
        <f>F279</f>
        <v>2.1685</v>
      </c>
      <c r="F279" s="25">
        <f>ROUND(2.1685,4)</f>
        <v>2.1685</v>
      </c>
      <c r="G279" s="24"/>
      <c r="H279" s="36"/>
    </row>
    <row r="280" spans="1:8" ht="12.75" customHeight="1">
      <c r="A280" s="22">
        <v>42723</v>
      </c>
      <c r="B280" s="22"/>
      <c r="C280" s="25">
        <f>ROUND(2.16949608464343,4)</f>
        <v>2.1695</v>
      </c>
      <c r="D280" s="25">
        <f>F280</f>
        <v>2.1981</v>
      </c>
      <c r="E280" s="25">
        <f>F280</f>
        <v>2.1981</v>
      </c>
      <c r="F280" s="25">
        <f>ROUND(2.1981,4)</f>
        <v>2.1981</v>
      </c>
      <c r="G280" s="24"/>
      <c r="H280" s="36"/>
    </row>
    <row r="281" spans="1:8" ht="12.75" customHeight="1">
      <c r="A281" s="22">
        <v>42807</v>
      </c>
      <c r="B281" s="22"/>
      <c r="C281" s="25">
        <f>ROUND(2.16949608464343,4)</f>
        <v>2.1695</v>
      </c>
      <c r="D281" s="25">
        <f>F281</f>
        <v>2.2247</v>
      </c>
      <c r="E281" s="25">
        <f>F281</f>
        <v>2.2247</v>
      </c>
      <c r="F281" s="25">
        <f>ROUND(2.2247,4)</f>
        <v>2.2247</v>
      </c>
      <c r="G281" s="24"/>
      <c r="H281" s="36"/>
    </row>
    <row r="282" spans="1:8" ht="12.75" customHeight="1">
      <c r="A282" s="22">
        <v>42905</v>
      </c>
      <c r="B282" s="22"/>
      <c r="C282" s="25">
        <f>ROUND(2.16949608464343,4)</f>
        <v>2.1695</v>
      </c>
      <c r="D282" s="25">
        <f>F282</f>
        <v>2.2558</v>
      </c>
      <c r="E282" s="25">
        <f>F282</f>
        <v>2.2558</v>
      </c>
      <c r="F282" s="25">
        <f>ROUND(2.2558,4)</f>
        <v>2.2558</v>
      </c>
      <c r="G282" s="24"/>
      <c r="H282" s="36"/>
    </row>
    <row r="283" spans="1:8" ht="12.75" customHeight="1">
      <c r="A283" s="22" t="s">
        <v>68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ROUND(2.16882990331558,4)</f>
        <v>2.1688</v>
      </c>
      <c r="D284" s="25">
        <f>F284</f>
        <v>2.1775</v>
      </c>
      <c r="E284" s="25">
        <f>F284</f>
        <v>2.1775</v>
      </c>
      <c r="F284" s="25">
        <f>ROUND(2.1775,4)</f>
        <v>2.1775</v>
      </c>
      <c r="G284" s="24"/>
      <c r="H284" s="36"/>
    </row>
    <row r="285" spans="1:8" ht="12.75" customHeight="1">
      <c r="A285" s="22">
        <v>42723</v>
      </c>
      <c r="B285" s="22"/>
      <c r="C285" s="25">
        <f>ROUND(2.16882990331558,4)</f>
        <v>2.1688</v>
      </c>
      <c r="D285" s="25">
        <f>F285</f>
        <v>2.2271</v>
      </c>
      <c r="E285" s="25">
        <f>F285</f>
        <v>2.2271</v>
      </c>
      <c r="F285" s="25">
        <f>ROUND(2.2271,4)</f>
        <v>2.2271</v>
      </c>
      <c r="G285" s="24"/>
      <c r="H285" s="36"/>
    </row>
    <row r="286" spans="1:8" ht="12.75" customHeight="1">
      <c r="A286" s="22">
        <v>42807</v>
      </c>
      <c r="B286" s="22"/>
      <c r="C286" s="25">
        <f>ROUND(2.16882990331558,4)</f>
        <v>2.1688</v>
      </c>
      <c r="D286" s="25">
        <f>F286</f>
        <v>2.2734</v>
      </c>
      <c r="E286" s="25">
        <f>F286</f>
        <v>2.2734</v>
      </c>
      <c r="F286" s="25">
        <f>ROUND(2.2734,4)</f>
        <v>2.2734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ROUND(16.140750847619,4)</f>
        <v>16.1408</v>
      </c>
      <c r="D288" s="25">
        <f>F288</f>
        <v>16.2054</v>
      </c>
      <c r="E288" s="25">
        <f>F288</f>
        <v>16.2054</v>
      </c>
      <c r="F288" s="25">
        <f>ROUND(16.2054,4)</f>
        <v>16.2054</v>
      </c>
      <c r="G288" s="24"/>
      <c r="H288" s="36"/>
    </row>
    <row r="289" spans="1:8" ht="12.75" customHeight="1">
      <c r="A289" s="22">
        <v>42723</v>
      </c>
      <c r="B289" s="22"/>
      <c r="C289" s="25">
        <f>ROUND(16.140750847619,4)</f>
        <v>16.1408</v>
      </c>
      <c r="D289" s="25">
        <f>F289</f>
        <v>16.5715</v>
      </c>
      <c r="E289" s="25">
        <f>F289</f>
        <v>16.5715</v>
      </c>
      <c r="F289" s="25">
        <f>ROUND(16.5715,4)</f>
        <v>16.5715</v>
      </c>
      <c r="G289" s="24"/>
      <c r="H289" s="36"/>
    </row>
    <row r="290" spans="1:8" ht="12.75" customHeight="1">
      <c r="A290" s="22">
        <v>42807</v>
      </c>
      <c r="B290" s="22"/>
      <c r="C290" s="25">
        <f>ROUND(16.140750847619,4)</f>
        <v>16.1408</v>
      </c>
      <c r="D290" s="25">
        <f>F290</f>
        <v>16.9128</v>
      </c>
      <c r="E290" s="25">
        <f>F290</f>
        <v>16.9128</v>
      </c>
      <c r="F290" s="25">
        <f>ROUND(16.9128,4)</f>
        <v>16.9128</v>
      </c>
      <c r="G290" s="24"/>
      <c r="H290" s="36"/>
    </row>
    <row r="291" spans="1:8" ht="12.75" customHeight="1">
      <c r="A291" s="22">
        <v>42905</v>
      </c>
      <c r="B291" s="22"/>
      <c r="C291" s="25">
        <f>ROUND(16.140750847619,4)</f>
        <v>16.1408</v>
      </c>
      <c r="D291" s="25">
        <f>F291</f>
        <v>17.3198</v>
      </c>
      <c r="E291" s="25">
        <f>F291</f>
        <v>17.3198</v>
      </c>
      <c r="F291" s="25">
        <f>ROUND(17.3198,4)</f>
        <v>17.3198</v>
      </c>
      <c r="G291" s="24"/>
      <c r="H291" s="36"/>
    </row>
    <row r="292" spans="1:8" ht="12.75" customHeight="1">
      <c r="A292" s="22">
        <v>42996</v>
      </c>
      <c r="B292" s="22"/>
      <c r="C292" s="25">
        <f>ROUND(16.140750847619,4)</f>
        <v>16.1408</v>
      </c>
      <c r="D292" s="25">
        <f>F292</f>
        <v>17.6916</v>
      </c>
      <c r="E292" s="25">
        <f>F292</f>
        <v>17.6916</v>
      </c>
      <c r="F292" s="25">
        <f>ROUND(17.6916,4)</f>
        <v>17.6916</v>
      </c>
      <c r="G292" s="24"/>
      <c r="H292" s="36"/>
    </row>
    <row r="293" spans="1:8" ht="12.75" customHeight="1">
      <c r="A293" s="22">
        <v>43087</v>
      </c>
      <c r="B293" s="22"/>
      <c r="C293" s="25">
        <f>ROUND(16.140750847619,4)</f>
        <v>16.1408</v>
      </c>
      <c r="D293" s="25">
        <f>F293</f>
        <v>18.0109</v>
      </c>
      <c r="E293" s="25">
        <f>F293</f>
        <v>18.0109</v>
      </c>
      <c r="F293" s="25">
        <f>ROUND(18.0109,4)</f>
        <v>18.0109</v>
      </c>
      <c r="G293" s="24"/>
      <c r="H293" s="36"/>
    </row>
    <row r="294" spans="1:8" ht="12.75" customHeight="1">
      <c r="A294" s="22">
        <v>43178</v>
      </c>
      <c r="B294" s="22"/>
      <c r="C294" s="25">
        <f>ROUND(16.140750847619,4)</f>
        <v>16.1408</v>
      </c>
      <c r="D294" s="25">
        <f>F294</f>
        <v>18.4018</v>
      </c>
      <c r="E294" s="25">
        <f>F294</f>
        <v>18.4018</v>
      </c>
      <c r="F294" s="25">
        <f>ROUND(18.4018,4)</f>
        <v>18.4018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5">
        <f>ROUND(14.7457664137921,4)</f>
        <v>14.7458</v>
      </c>
      <c r="D296" s="25">
        <f>F296</f>
        <v>14.8077</v>
      </c>
      <c r="E296" s="25">
        <f>F296</f>
        <v>14.8077</v>
      </c>
      <c r="F296" s="25">
        <f>ROUND(14.8077,4)</f>
        <v>14.8077</v>
      </c>
      <c r="G296" s="24"/>
      <c r="H296" s="36"/>
    </row>
    <row r="297" spans="1:8" ht="12.75" customHeight="1">
      <c r="A297" s="22">
        <v>42723</v>
      </c>
      <c r="B297" s="22"/>
      <c r="C297" s="25">
        <f>ROUND(14.7457664137921,4)</f>
        <v>14.7458</v>
      </c>
      <c r="D297" s="25">
        <f>F297</f>
        <v>15.1641</v>
      </c>
      <c r="E297" s="25">
        <f>F297</f>
        <v>15.1641</v>
      </c>
      <c r="F297" s="25">
        <f>ROUND(15.1641,4)</f>
        <v>15.1641</v>
      </c>
      <c r="G297" s="24"/>
      <c r="H297" s="36"/>
    </row>
    <row r="298" spans="1:8" ht="12.75" customHeight="1">
      <c r="A298" s="22">
        <v>42807</v>
      </c>
      <c r="B298" s="22"/>
      <c r="C298" s="25">
        <f>ROUND(14.7457664137921,4)</f>
        <v>14.7458</v>
      </c>
      <c r="D298" s="25">
        <f>F298</f>
        <v>15.4955</v>
      </c>
      <c r="E298" s="25">
        <f>F298</f>
        <v>15.4955</v>
      </c>
      <c r="F298" s="25">
        <f>ROUND(15.4955,4)</f>
        <v>15.4955</v>
      </c>
      <c r="G298" s="24"/>
      <c r="H298" s="36"/>
    </row>
    <row r="299" spans="1:8" ht="12.75" customHeight="1">
      <c r="A299" s="22">
        <v>42905</v>
      </c>
      <c r="B299" s="22"/>
      <c r="C299" s="25">
        <f>ROUND(14.7457664137921,4)</f>
        <v>14.7458</v>
      </c>
      <c r="D299" s="25">
        <f>F299</f>
        <v>15.8914</v>
      </c>
      <c r="E299" s="25">
        <f>F299</f>
        <v>15.8914</v>
      </c>
      <c r="F299" s="25">
        <f>ROUND(15.8914,4)</f>
        <v>15.8914</v>
      </c>
      <c r="G299" s="24"/>
      <c r="H299" s="36"/>
    </row>
    <row r="300" spans="1:8" ht="12.75" customHeight="1">
      <c r="A300" s="22">
        <v>42996</v>
      </c>
      <c r="B300" s="22"/>
      <c r="C300" s="25">
        <f>ROUND(14.7457664137921,4)</f>
        <v>14.7458</v>
      </c>
      <c r="D300" s="25">
        <f>F300</f>
        <v>16.2507</v>
      </c>
      <c r="E300" s="25">
        <f>F300</f>
        <v>16.2507</v>
      </c>
      <c r="F300" s="25">
        <f>ROUND(16.2507,4)</f>
        <v>16.2507</v>
      </c>
      <c r="G300" s="24"/>
      <c r="H300" s="36"/>
    </row>
    <row r="301" spans="1:8" ht="12.75" customHeight="1">
      <c r="A301" s="22" t="s">
        <v>71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5">
        <f>ROUND(18.9608653047619,4)</f>
        <v>18.9609</v>
      </c>
      <c r="D302" s="25">
        <f>F302</f>
        <v>19.0309</v>
      </c>
      <c r="E302" s="25">
        <f>F302</f>
        <v>19.0309</v>
      </c>
      <c r="F302" s="25">
        <f>ROUND(19.0309,4)</f>
        <v>19.0309</v>
      </c>
      <c r="G302" s="24"/>
      <c r="H302" s="36"/>
    </row>
    <row r="303" spans="1:8" ht="12.75" customHeight="1">
      <c r="A303" s="22">
        <v>42723</v>
      </c>
      <c r="B303" s="22"/>
      <c r="C303" s="25">
        <f>ROUND(18.9608653047619,4)</f>
        <v>18.9609</v>
      </c>
      <c r="D303" s="25">
        <f>F303</f>
        <v>19.4184</v>
      </c>
      <c r="E303" s="25">
        <f>F303</f>
        <v>19.4184</v>
      </c>
      <c r="F303" s="25">
        <f>ROUND(19.4184,4)</f>
        <v>19.4184</v>
      </c>
      <c r="G303" s="24"/>
      <c r="H303" s="36"/>
    </row>
    <row r="304" spans="1:8" ht="12.75" customHeight="1">
      <c r="A304" s="22">
        <v>42807</v>
      </c>
      <c r="B304" s="22"/>
      <c r="C304" s="25">
        <f>ROUND(18.9608653047619,4)</f>
        <v>18.9609</v>
      </c>
      <c r="D304" s="25">
        <f>F304</f>
        <v>19.7777</v>
      </c>
      <c r="E304" s="25">
        <f>F304</f>
        <v>19.7777</v>
      </c>
      <c r="F304" s="25">
        <f>ROUND(19.7777,4)</f>
        <v>19.7777</v>
      </c>
      <c r="G304" s="24"/>
      <c r="H304" s="36"/>
    </row>
    <row r="305" spans="1:8" ht="12.75" customHeight="1">
      <c r="A305" s="22">
        <v>42905</v>
      </c>
      <c r="B305" s="22"/>
      <c r="C305" s="25">
        <f>ROUND(18.9608653047619,4)</f>
        <v>18.9609</v>
      </c>
      <c r="D305" s="25">
        <f>F305</f>
        <v>20.2053</v>
      </c>
      <c r="E305" s="25">
        <f>F305</f>
        <v>20.2053</v>
      </c>
      <c r="F305" s="25">
        <f>ROUND(20.2053,4)</f>
        <v>20.2053</v>
      </c>
      <c r="G305" s="24"/>
      <c r="H305" s="36"/>
    </row>
    <row r="306" spans="1:8" ht="12.75" customHeight="1">
      <c r="A306" s="22">
        <v>42996</v>
      </c>
      <c r="B306" s="22"/>
      <c r="C306" s="25">
        <f>ROUND(18.9608653047619,4)</f>
        <v>18.9609</v>
      </c>
      <c r="D306" s="25">
        <f>F306</f>
        <v>20.6025</v>
      </c>
      <c r="E306" s="25">
        <f>F306</f>
        <v>20.6025</v>
      </c>
      <c r="F306" s="25">
        <f>ROUND(20.6025,4)</f>
        <v>20.6025</v>
      </c>
      <c r="G306" s="24"/>
      <c r="H306" s="36"/>
    </row>
    <row r="307" spans="1:8" ht="12.75" customHeight="1">
      <c r="A307" s="22">
        <v>43087</v>
      </c>
      <c r="B307" s="22"/>
      <c r="C307" s="25">
        <f>ROUND(18.9608653047619,4)</f>
        <v>18.9609</v>
      </c>
      <c r="D307" s="25">
        <f>F307</f>
        <v>20.9585</v>
      </c>
      <c r="E307" s="25">
        <f>F307</f>
        <v>20.9585</v>
      </c>
      <c r="F307" s="25">
        <f>ROUND(20.9585,4)</f>
        <v>20.9585</v>
      </c>
      <c r="G307" s="24"/>
      <c r="H307" s="36"/>
    </row>
    <row r="308" spans="1:8" ht="12.75" customHeight="1">
      <c r="A308" s="22">
        <v>43178</v>
      </c>
      <c r="B308" s="22"/>
      <c r="C308" s="25">
        <f>ROUND(18.9608653047619,4)</f>
        <v>18.9609</v>
      </c>
      <c r="D308" s="25">
        <f>F308</f>
        <v>20.9585</v>
      </c>
      <c r="E308" s="25">
        <f>F308</f>
        <v>20.9585</v>
      </c>
      <c r="F308" s="25">
        <f>ROUND(20.9585,4)</f>
        <v>20.9585</v>
      </c>
      <c r="G308" s="24"/>
      <c r="H308" s="36"/>
    </row>
    <row r="309" spans="1:8" ht="12.75" customHeight="1">
      <c r="A309" s="22" t="s">
        <v>72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8">
        <f>ROUND(0.141635473747541,6)</f>
        <v>0.141635</v>
      </c>
      <c r="D310" s="28">
        <f>F310</f>
        <v>0.141691</v>
      </c>
      <c r="E310" s="28">
        <f>F310</f>
        <v>0.141691</v>
      </c>
      <c r="F310" s="28">
        <f>ROUND(0.141691,6)</f>
        <v>0.141691</v>
      </c>
      <c r="G310" s="24"/>
      <c r="H310" s="36"/>
    </row>
    <row r="311" spans="1:8" ht="12.75" customHeight="1">
      <c r="A311" s="22">
        <v>42723</v>
      </c>
      <c r="B311" s="22"/>
      <c r="C311" s="28">
        <f>ROUND(0.141635473747541,6)</f>
        <v>0.141635</v>
      </c>
      <c r="D311" s="28">
        <f>F311</f>
        <v>0.144936</v>
      </c>
      <c r="E311" s="28">
        <f>F311</f>
        <v>0.144936</v>
      </c>
      <c r="F311" s="28">
        <f>ROUND(0.144936,6)</f>
        <v>0.144936</v>
      </c>
      <c r="G311" s="24"/>
      <c r="H311" s="36"/>
    </row>
    <row r="312" spans="1:8" ht="12.75" customHeight="1">
      <c r="A312" s="22">
        <v>42807</v>
      </c>
      <c r="B312" s="22"/>
      <c r="C312" s="28">
        <f>ROUND(0.141635473747541,6)</f>
        <v>0.141635</v>
      </c>
      <c r="D312" s="28">
        <f>F312</f>
        <v>0.147948</v>
      </c>
      <c r="E312" s="28">
        <f>F312</f>
        <v>0.147948</v>
      </c>
      <c r="F312" s="28">
        <f>ROUND(0.147948,6)</f>
        <v>0.147948</v>
      </c>
      <c r="G312" s="24"/>
      <c r="H312" s="36"/>
    </row>
    <row r="313" spans="1:8" ht="12.75" customHeight="1">
      <c r="A313" s="22">
        <v>42905</v>
      </c>
      <c r="B313" s="22"/>
      <c r="C313" s="28">
        <f>ROUND(0.141635473747541,6)</f>
        <v>0.141635</v>
      </c>
      <c r="D313" s="28">
        <f>F313</f>
        <v>0.151549</v>
      </c>
      <c r="E313" s="28">
        <f>F313</f>
        <v>0.151549</v>
      </c>
      <c r="F313" s="28">
        <f>ROUND(0.151549,6)</f>
        <v>0.151549</v>
      </c>
      <c r="G313" s="24"/>
      <c r="H313" s="36"/>
    </row>
    <row r="314" spans="1:8" ht="12.75" customHeight="1">
      <c r="A314" s="22">
        <v>42996</v>
      </c>
      <c r="B314" s="22"/>
      <c r="C314" s="28">
        <f>ROUND(0.141635473747541,6)</f>
        <v>0.141635</v>
      </c>
      <c r="D314" s="28">
        <f>F314</f>
        <v>0.154889</v>
      </c>
      <c r="E314" s="28">
        <f>F314</f>
        <v>0.154889</v>
      </c>
      <c r="F314" s="28">
        <f>ROUND(0.154889,6)</f>
        <v>0.154889</v>
      </c>
      <c r="G314" s="24"/>
      <c r="H314" s="36"/>
    </row>
    <row r="315" spans="1:8" ht="12.75" customHeight="1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5">
        <f>ROUND(0.142740857887081,4)</f>
        <v>0.1427</v>
      </c>
      <c r="D316" s="25">
        <f>F316</f>
        <v>0.1429</v>
      </c>
      <c r="E316" s="25">
        <f>F316</f>
        <v>0.1429</v>
      </c>
      <c r="F316" s="25">
        <f>ROUND(0.1429,4)</f>
        <v>0.1429</v>
      </c>
      <c r="G316" s="24"/>
      <c r="H316" s="36"/>
    </row>
    <row r="317" spans="1:8" ht="12.75" customHeight="1">
      <c r="A317" s="22">
        <v>42723</v>
      </c>
      <c r="B317" s="22"/>
      <c r="C317" s="25">
        <f>ROUND(0.142740857887081,4)</f>
        <v>0.1427</v>
      </c>
      <c r="D317" s="25">
        <f>F317</f>
        <v>0.143</v>
      </c>
      <c r="E317" s="25">
        <f>F317</f>
        <v>0.143</v>
      </c>
      <c r="F317" s="25">
        <f>ROUND(0.143,4)</f>
        <v>0.143</v>
      </c>
      <c r="G317" s="24"/>
      <c r="H317" s="36"/>
    </row>
    <row r="318" spans="1:8" ht="12.75" customHeight="1">
      <c r="A318" s="22">
        <v>42807</v>
      </c>
      <c r="B318" s="22"/>
      <c r="C318" s="25">
        <f>ROUND(0.142740857887081,4)</f>
        <v>0.1427</v>
      </c>
      <c r="D318" s="25">
        <f>F318</f>
        <v>0.1429</v>
      </c>
      <c r="E318" s="25">
        <f>F318</f>
        <v>0.1429</v>
      </c>
      <c r="F318" s="25">
        <f>ROUND(0.1429,4)</f>
        <v>0.1429</v>
      </c>
      <c r="G318" s="24"/>
      <c r="H318" s="36"/>
    </row>
    <row r="319" spans="1:8" ht="12.75" customHeight="1">
      <c r="A319" s="22">
        <v>42905</v>
      </c>
      <c r="B319" s="22"/>
      <c r="C319" s="25">
        <f>ROUND(0.142740857887081,4)</f>
        <v>0.1427</v>
      </c>
      <c r="D319" s="25">
        <f>F319</f>
        <v>0.1432</v>
      </c>
      <c r="E319" s="25">
        <f>F319</f>
        <v>0.1432</v>
      </c>
      <c r="F319" s="25">
        <f>ROUND(0.1432,4)</f>
        <v>0.1432</v>
      </c>
      <c r="G319" s="24"/>
      <c r="H319" s="36"/>
    </row>
    <row r="320" spans="1:8" ht="12.75" customHeight="1">
      <c r="A320" s="22" t="s">
        <v>74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ROUND(0.0878122696726642,4)</f>
        <v>0.0878</v>
      </c>
      <c r="D321" s="25">
        <f>F321</f>
        <v>0.0418</v>
      </c>
      <c r="E321" s="25">
        <f>F321</f>
        <v>0.0418</v>
      </c>
      <c r="F321" s="25">
        <f>ROUND(0.0418,4)</f>
        <v>0.0418</v>
      </c>
      <c r="G321" s="24"/>
      <c r="H321" s="36"/>
    </row>
    <row r="322" spans="1:8" ht="12.75" customHeight="1">
      <c r="A322" s="22">
        <v>42723</v>
      </c>
      <c r="B322" s="22"/>
      <c r="C322" s="25">
        <f>ROUND(0.0878122696726642,4)</f>
        <v>0.0878</v>
      </c>
      <c r="D322" s="25">
        <f>F322</f>
        <v>0.0413</v>
      </c>
      <c r="E322" s="25">
        <f>F322</f>
        <v>0.0413</v>
      </c>
      <c r="F322" s="25">
        <f>ROUND(0.0413,4)</f>
        <v>0.0413</v>
      </c>
      <c r="G322" s="24"/>
      <c r="H322" s="36"/>
    </row>
    <row r="323" spans="1:8" ht="12.75" customHeight="1">
      <c r="A323" s="22">
        <v>42807</v>
      </c>
      <c r="B323" s="22"/>
      <c r="C323" s="25">
        <f>ROUND(0.0878122696726642,4)</f>
        <v>0.0878</v>
      </c>
      <c r="D323" s="25">
        <f>F323</f>
        <v>0.0402</v>
      </c>
      <c r="E323" s="25">
        <f>F323</f>
        <v>0.0402</v>
      </c>
      <c r="F323" s="25">
        <f>ROUND(0.0402,4)</f>
        <v>0.0402</v>
      </c>
      <c r="G323" s="24"/>
      <c r="H323" s="36"/>
    </row>
    <row r="324" spans="1:8" ht="12.75" customHeight="1">
      <c r="A324" s="22">
        <v>42905</v>
      </c>
      <c r="B324" s="22"/>
      <c r="C324" s="25">
        <f>ROUND(0.0878122696726642,4)</f>
        <v>0.0878</v>
      </c>
      <c r="D324" s="25">
        <f>F324</f>
        <v>0.0392</v>
      </c>
      <c r="E324" s="25">
        <f>F324</f>
        <v>0.0392</v>
      </c>
      <c r="F324" s="25">
        <f>ROUND(0.0392,4)</f>
        <v>0.0392</v>
      </c>
      <c r="G324" s="24"/>
      <c r="H324" s="36"/>
    </row>
    <row r="325" spans="1:8" ht="12.75" customHeight="1">
      <c r="A325" s="22">
        <v>42996</v>
      </c>
      <c r="B325" s="22"/>
      <c r="C325" s="25">
        <f>ROUND(0.0878122696726642,4)</f>
        <v>0.0878</v>
      </c>
      <c r="D325" s="25">
        <f>F325</f>
        <v>0.0384</v>
      </c>
      <c r="E325" s="25">
        <f>F325</f>
        <v>0.0384</v>
      </c>
      <c r="F325" s="25">
        <f>ROUND(0.0384,4)</f>
        <v>0.0384</v>
      </c>
      <c r="G325" s="24"/>
      <c r="H325" s="36"/>
    </row>
    <row r="326" spans="1:8" ht="12.75" customHeight="1">
      <c r="A326" s="22" t="s">
        <v>75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5">
        <f>ROUND(4.88876283807432,4)</f>
        <v>4.8888</v>
      </c>
      <c r="D327" s="25">
        <f>F327</f>
        <v>4.889</v>
      </c>
      <c r="E327" s="25">
        <f>F327</f>
        <v>4.889</v>
      </c>
      <c r="F327" s="25">
        <f>ROUND(4.889,4)</f>
        <v>4.889</v>
      </c>
      <c r="G327" s="24"/>
      <c r="H327" s="36"/>
    </row>
    <row r="328" spans="1:8" ht="12.75" customHeight="1">
      <c r="A328" s="22">
        <v>42723</v>
      </c>
      <c r="B328" s="22"/>
      <c r="C328" s="25">
        <f>ROUND(4.88876283807432,4)</f>
        <v>4.8888</v>
      </c>
      <c r="D328" s="25">
        <f>F328</f>
        <v>4.8825</v>
      </c>
      <c r="E328" s="25">
        <f>F328</f>
        <v>4.8825</v>
      </c>
      <c r="F328" s="25">
        <f>ROUND(4.8825,4)</f>
        <v>4.8825</v>
      </c>
      <c r="G328" s="24"/>
      <c r="H328" s="36"/>
    </row>
    <row r="329" spans="1:8" ht="12.75" customHeight="1">
      <c r="A329" s="22">
        <v>42807</v>
      </c>
      <c r="B329" s="22"/>
      <c r="C329" s="25">
        <f>ROUND(4.88876283807432,4)</f>
        <v>4.8888</v>
      </c>
      <c r="D329" s="25">
        <f>F329</f>
        <v>4.8779</v>
      </c>
      <c r="E329" s="25">
        <f>F329</f>
        <v>4.8779</v>
      </c>
      <c r="F329" s="25">
        <f>ROUND(4.8779,4)</f>
        <v>4.8779</v>
      </c>
      <c r="G329" s="24"/>
      <c r="H329" s="36"/>
    </row>
    <row r="330" spans="1:8" ht="12.75" customHeight="1">
      <c r="A330" s="22" t="s">
        <v>76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5">
        <f>ROUND(14.4670714285714,4)</f>
        <v>14.4671</v>
      </c>
      <c r="D331" s="25">
        <f>F331</f>
        <v>14.5174</v>
      </c>
      <c r="E331" s="25">
        <f>F331</f>
        <v>14.5174</v>
      </c>
      <c r="F331" s="25">
        <f>ROUND(14.5174,4)</f>
        <v>14.5174</v>
      </c>
      <c r="G331" s="24"/>
      <c r="H331" s="36"/>
    </row>
    <row r="332" spans="1:8" ht="12.75" customHeight="1">
      <c r="A332" s="22">
        <v>42723</v>
      </c>
      <c r="B332" s="22"/>
      <c r="C332" s="25">
        <f>ROUND(14.4670714285714,4)</f>
        <v>14.4671</v>
      </c>
      <c r="D332" s="25">
        <f>F332</f>
        <v>14.7801</v>
      </c>
      <c r="E332" s="25">
        <f>F332</f>
        <v>14.7801</v>
      </c>
      <c r="F332" s="25">
        <f>ROUND(14.7801,4)</f>
        <v>14.7801</v>
      </c>
      <c r="G332" s="24"/>
      <c r="H332" s="36"/>
    </row>
    <row r="333" spans="1:8" ht="12.75" customHeight="1">
      <c r="A333" s="22">
        <v>42807</v>
      </c>
      <c r="B333" s="22"/>
      <c r="C333" s="25">
        <f>ROUND(14.4670714285714,4)</f>
        <v>14.4671</v>
      </c>
      <c r="D333" s="25">
        <f>F333</f>
        <v>15.0246</v>
      </c>
      <c r="E333" s="25">
        <f>F333</f>
        <v>15.0246</v>
      </c>
      <c r="F333" s="25">
        <f>ROUND(15.0246,4)</f>
        <v>15.0246</v>
      </c>
      <c r="G333" s="24"/>
      <c r="H333" s="36"/>
    </row>
    <row r="334" spans="1:8" ht="12.75" customHeight="1">
      <c r="A334" s="22">
        <v>42905</v>
      </c>
      <c r="B334" s="22"/>
      <c r="C334" s="25">
        <f>ROUND(14.4670714285714,4)</f>
        <v>14.4671</v>
      </c>
      <c r="D334" s="25">
        <f>F334</f>
        <v>15.313</v>
      </c>
      <c r="E334" s="25">
        <f>F334</f>
        <v>15.313</v>
      </c>
      <c r="F334" s="25">
        <f>ROUND(15.313,4)</f>
        <v>15.313</v>
      </c>
      <c r="G334" s="24"/>
      <c r="H334" s="36"/>
    </row>
    <row r="335" spans="1:8" ht="12.75" customHeight="1">
      <c r="A335" s="22">
        <v>42996</v>
      </c>
      <c r="B335" s="22"/>
      <c r="C335" s="25">
        <f>ROUND(14.4670714285714,4)</f>
        <v>14.4671</v>
      </c>
      <c r="D335" s="25">
        <f>F335</f>
        <v>15.5785</v>
      </c>
      <c r="E335" s="25">
        <f>F335</f>
        <v>15.5785</v>
      </c>
      <c r="F335" s="25">
        <f>ROUND(15.5785,4)</f>
        <v>15.5785</v>
      </c>
      <c r="G335" s="24"/>
      <c r="H335" s="36"/>
    </row>
    <row r="336" spans="1:8" ht="12.75" customHeight="1">
      <c r="A336" s="22" t="s">
        <v>77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ROUND(14.4670714285714,4)</f>
        <v>14.4671</v>
      </c>
      <c r="D337" s="25">
        <f>F337</f>
        <v>14.5174</v>
      </c>
      <c r="E337" s="25">
        <f>F337</f>
        <v>14.5174</v>
      </c>
      <c r="F337" s="25">
        <f>ROUND(14.5174,4)</f>
        <v>14.5174</v>
      </c>
      <c r="G337" s="24"/>
      <c r="H337" s="36"/>
    </row>
    <row r="338" spans="1:8" ht="12.75" customHeight="1">
      <c r="A338" s="22">
        <v>42723</v>
      </c>
      <c r="B338" s="22"/>
      <c r="C338" s="25">
        <f>ROUND(14.4670714285714,4)</f>
        <v>14.4671</v>
      </c>
      <c r="D338" s="25">
        <f>F338</f>
        <v>14.7801</v>
      </c>
      <c r="E338" s="25">
        <f>F338</f>
        <v>14.7801</v>
      </c>
      <c r="F338" s="25">
        <f>ROUND(14.7801,4)</f>
        <v>14.7801</v>
      </c>
      <c r="G338" s="24"/>
      <c r="H338" s="36"/>
    </row>
    <row r="339" spans="1:8" ht="12.75" customHeight="1">
      <c r="A339" s="22">
        <v>42807</v>
      </c>
      <c r="B339" s="22"/>
      <c r="C339" s="25">
        <f>ROUND(14.4670714285714,4)</f>
        <v>14.4671</v>
      </c>
      <c r="D339" s="25">
        <f>F339</f>
        <v>15.0246</v>
      </c>
      <c r="E339" s="25">
        <f>F339</f>
        <v>15.0246</v>
      </c>
      <c r="F339" s="25">
        <f>ROUND(15.0246,4)</f>
        <v>15.0246</v>
      </c>
      <c r="G339" s="24"/>
      <c r="H339" s="36"/>
    </row>
    <row r="340" spans="1:8" ht="12.75" customHeight="1">
      <c r="A340" s="22">
        <v>42905</v>
      </c>
      <c r="B340" s="22"/>
      <c r="C340" s="25">
        <f>ROUND(14.4670714285714,4)</f>
        <v>14.4671</v>
      </c>
      <c r="D340" s="25">
        <f>F340</f>
        <v>15.313</v>
      </c>
      <c r="E340" s="25">
        <f>F340</f>
        <v>15.313</v>
      </c>
      <c r="F340" s="25">
        <f>ROUND(15.313,4)</f>
        <v>15.313</v>
      </c>
      <c r="G340" s="24"/>
      <c r="H340" s="36"/>
    </row>
    <row r="341" spans="1:8" ht="12.75" customHeight="1">
      <c r="A341" s="22">
        <v>42996</v>
      </c>
      <c r="B341" s="22"/>
      <c r="C341" s="25">
        <f>ROUND(14.4670714285714,4)</f>
        <v>14.4671</v>
      </c>
      <c r="D341" s="25">
        <f>F341</f>
        <v>15.5785</v>
      </c>
      <c r="E341" s="25">
        <f>F341</f>
        <v>15.5785</v>
      </c>
      <c r="F341" s="25">
        <f>ROUND(15.5785,4)</f>
        <v>15.5785</v>
      </c>
      <c r="G341" s="24"/>
      <c r="H341" s="36"/>
    </row>
    <row r="342" spans="1:8" ht="12.75" customHeight="1">
      <c r="A342" s="22">
        <v>43087</v>
      </c>
      <c r="B342" s="22"/>
      <c r="C342" s="25">
        <f>ROUND(14.4670714285714,4)</f>
        <v>14.4671</v>
      </c>
      <c r="D342" s="25">
        <f>F342</f>
        <v>15.8079</v>
      </c>
      <c r="E342" s="25">
        <f>F342</f>
        <v>15.8079</v>
      </c>
      <c r="F342" s="25">
        <f>ROUND(15.8079,4)</f>
        <v>15.8079</v>
      </c>
      <c r="G342" s="24"/>
      <c r="H342" s="36"/>
    </row>
    <row r="343" spans="1:8" ht="12.75" customHeight="1">
      <c r="A343" s="22">
        <v>43178</v>
      </c>
      <c r="B343" s="22"/>
      <c r="C343" s="25">
        <f>ROUND(14.4670714285714,4)</f>
        <v>14.4671</v>
      </c>
      <c r="D343" s="25">
        <f>F343</f>
        <v>16.0372</v>
      </c>
      <c r="E343" s="25">
        <f>F343</f>
        <v>16.0372</v>
      </c>
      <c r="F343" s="25">
        <f>ROUND(16.0372,4)</f>
        <v>16.0372</v>
      </c>
      <c r="G343" s="24"/>
      <c r="H343" s="36"/>
    </row>
    <row r="344" spans="1:8" ht="12.75" customHeight="1">
      <c r="A344" s="22">
        <v>43269</v>
      </c>
      <c r="B344" s="22"/>
      <c r="C344" s="25">
        <f>ROUND(14.4670714285714,4)</f>
        <v>14.4671</v>
      </c>
      <c r="D344" s="25">
        <f>F344</f>
        <v>16.2666</v>
      </c>
      <c r="E344" s="25">
        <f>F344</f>
        <v>16.2666</v>
      </c>
      <c r="F344" s="25">
        <f>ROUND(16.2666,4)</f>
        <v>16.2666</v>
      </c>
      <c r="G344" s="24"/>
      <c r="H344" s="36"/>
    </row>
    <row r="345" spans="1:8" ht="12.75" customHeight="1">
      <c r="A345" s="22">
        <v>43360</v>
      </c>
      <c r="B345" s="22"/>
      <c r="C345" s="25">
        <f>ROUND(14.4670714285714,4)</f>
        <v>14.4671</v>
      </c>
      <c r="D345" s="25">
        <f>F345</f>
        <v>16.4959</v>
      </c>
      <c r="E345" s="25">
        <f>F345</f>
        <v>16.4959</v>
      </c>
      <c r="F345" s="25">
        <f>ROUND(16.4959,4)</f>
        <v>16.4959</v>
      </c>
      <c r="G345" s="24"/>
      <c r="H345" s="36"/>
    </row>
    <row r="346" spans="1:8" ht="12.75" customHeight="1">
      <c r="A346" s="22">
        <v>43448</v>
      </c>
      <c r="B346" s="22"/>
      <c r="C346" s="25">
        <f>ROUND(14.4670714285714,4)</f>
        <v>14.4671</v>
      </c>
      <c r="D346" s="25">
        <f>F346</f>
        <v>16.7177</v>
      </c>
      <c r="E346" s="25">
        <f>F346</f>
        <v>16.7177</v>
      </c>
      <c r="F346" s="25">
        <f>ROUND(16.7177,4)</f>
        <v>16.7177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ROUND(1.51392543203971,4)</f>
        <v>1.5139</v>
      </c>
      <c r="D348" s="25">
        <f>F348</f>
        <v>1.5012</v>
      </c>
      <c r="E348" s="25">
        <f>F348</f>
        <v>1.5012</v>
      </c>
      <c r="F348" s="25">
        <f>ROUND(1.5012,4)</f>
        <v>1.5012</v>
      </c>
      <c r="G348" s="24"/>
      <c r="H348" s="36"/>
    </row>
    <row r="349" spans="1:8" ht="12.75" customHeight="1">
      <c r="A349" s="22">
        <v>42723</v>
      </c>
      <c r="B349" s="22"/>
      <c r="C349" s="25">
        <f>ROUND(1.51392543203971,4)</f>
        <v>1.5139</v>
      </c>
      <c r="D349" s="25">
        <f>F349</f>
        <v>1.437</v>
      </c>
      <c r="E349" s="25">
        <f>F349</f>
        <v>1.437</v>
      </c>
      <c r="F349" s="25">
        <f>ROUND(1.437,4)</f>
        <v>1.437</v>
      </c>
      <c r="G349" s="24"/>
      <c r="H349" s="36"/>
    </row>
    <row r="350" spans="1:8" ht="12.75" customHeight="1">
      <c r="A350" s="22">
        <v>42807</v>
      </c>
      <c r="B350" s="22"/>
      <c r="C350" s="25">
        <f>ROUND(1.51392543203971,4)</f>
        <v>1.5139</v>
      </c>
      <c r="D350" s="25">
        <f>F350</f>
        <v>1.3912</v>
      </c>
      <c r="E350" s="25">
        <f>F350</f>
        <v>1.3912</v>
      </c>
      <c r="F350" s="25">
        <f>ROUND(1.3912,4)</f>
        <v>1.3912</v>
      </c>
      <c r="G350" s="24"/>
      <c r="H350" s="36"/>
    </row>
    <row r="351" spans="1:8" ht="12.75" customHeight="1">
      <c r="A351" s="22">
        <v>42905</v>
      </c>
      <c r="B351" s="22"/>
      <c r="C351" s="25">
        <f>ROUND(1.51392543203971,4)</f>
        <v>1.5139</v>
      </c>
      <c r="D351" s="25">
        <f>F351</f>
        <v>1.3389</v>
      </c>
      <c r="E351" s="25">
        <f>F351</f>
        <v>1.3389</v>
      </c>
      <c r="F351" s="25">
        <f>ROUND(1.3389,4)</f>
        <v>1.3389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42677</v>
      </c>
      <c r="B353" s="22"/>
      <c r="C353" s="26">
        <f>ROUND(564.451,3)</f>
        <v>564.451</v>
      </c>
      <c r="D353" s="26">
        <f>F353</f>
        <v>572.009</v>
      </c>
      <c r="E353" s="26">
        <f>F353</f>
        <v>572.009</v>
      </c>
      <c r="F353" s="26">
        <f>ROUND(572.009,3)</f>
        <v>572.009</v>
      </c>
      <c r="G353" s="24"/>
      <c r="H353" s="36"/>
    </row>
    <row r="354" spans="1:8" ht="12.75" customHeight="1">
      <c r="A354" s="22">
        <v>42768</v>
      </c>
      <c r="B354" s="22"/>
      <c r="C354" s="26">
        <f>ROUND(564.451,3)</f>
        <v>564.451</v>
      </c>
      <c r="D354" s="26">
        <f>F354</f>
        <v>583.087</v>
      </c>
      <c r="E354" s="26">
        <f>F354</f>
        <v>583.087</v>
      </c>
      <c r="F354" s="26">
        <f>ROUND(583.087,3)</f>
        <v>583.087</v>
      </c>
      <c r="G354" s="24"/>
      <c r="H354" s="36"/>
    </row>
    <row r="355" spans="1:8" ht="12.75" customHeight="1">
      <c r="A355" s="22">
        <v>42859</v>
      </c>
      <c r="B355" s="22"/>
      <c r="C355" s="26">
        <f>ROUND(564.451,3)</f>
        <v>564.451</v>
      </c>
      <c r="D355" s="26">
        <f>F355</f>
        <v>594.871</v>
      </c>
      <c r="E355" s="26">
        <f>F355</f>
        <v>594.871</v>
      </c>
      <c r="F355" s="26">
        <f>ROUND(594.871,3)</f>
        <v>594.871</v>
      </c>
      <c r="G355" s="24"/>
      <c r="H355" s="36"/>
    </row>
    <row r="356" spans="1:8" ht="12.75" customHeight="1">
      <c r="A356" s="22">
        <v>42950</v>
      </c>
      <c r="B356" s="22"/>
      <c r="C356" s="26">
        <f>ROUND(564.451,3)</f>
        <v>564.451</v>
      </c>
      <c r="D356" s="26">
        <f>F356</f>
        <v>607.411</v>
      </c>
      <c r="E356" s="26">
        <f>F356</f>
        <v>607.411</v>
      </c>
      <c r="F356" s="26">
        <f>ROUND(607.411,3)</f>
        <v>607.411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42677</v>
      </c>
      <c r="B358" s="22"/>
      <c r="C358" s="26">
        <f>ROUND(492.972,3)</f>
        <v>492.972</v>
      </c>
      <c r="D358" s="26">
        <f>F358</f>
        <v>499.573</v>
      </c>
      <c r="E358" s="26">
        <f>F358</f>
        <v>499.573</v>
      </c>
      <c r="F358" s="26">
        <f>ROUND(499.573,3)</f>
        <v>499.573</v>
      </c>
      <c r="G358" s="24"/>
      <c r="H358" s="36"/>
    </row>
    <row r="359" spans="1:8" ht="12.75" customHeight="1">
      <c r="A359" s="22">
        <v>42768</v>
      </c>
      <c r="B359" s="22"/>
      <c r="C359" s="26">
        <f>ROUND(492.972,3)</f>
        <v>492.972</v>
      </c>
      <c r="D359" s="26">
        <f>F359</f>
        <v>509.248</v>
      </c>
      <c r="E359" s="26">
        <f>F359</f>
        <v>509.248</v>
      </c>
      <c r="F359" s="26">
        <f>ROUND(509.248,3)</f>
        <v>509.248</v>
      </c>
      <c r="G359" s="24"/>
      <c r="H359" s="36"/>
    </row>
    <row r="360" spans="1:8" ht="12.75" customHeight="1">
      <c r="A360" s="22">
        <v>42859</v>
      </c>
      <c r="B360" s="22"/>
      <c r="C360" s="26">
        <f>ROUND(492.972,3)</f>
        <v>492.972</v>
      </c>
      <c r="D360" s="26">
        <f>F360</f>
        <v>519.54</v>
      </c>
      <c r="E360" s="26">
        <f>F360</f>
        <v>519.54</v>
      </c>
      <c r="F360" s="26">
        <f>ROUND(519.54,3)</f>
        <v>519.54</v>
      </c>
      <c r="G360" s="24"/>
      <c r="H360" s="36"/>
    </row>
    <row r="361" spans="1:8" ht="12.75" customHeight="1">
      <c r="A361" s="22">
        <v>42950</v>
      </c>
      <c r="B361" s="22"/>
      <c r="C361" s="26">
        <f>ROUND(492.972,3)</f>
        <v>492.972</v>
      </c>
      <c r="D361" s="26">
        <f>F361</f>
        <v>530.492</v>
      </c>
      <c r="E361" s="26">
        <f>F361</f>
        <v>530.492</v>
      </c>
      <c r="F361" s="26">
        <f>ROUND(530.492,3)</f>
        <v>530.492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42677</v>
      </c>
      <c r="B363" s="22"/>
      <c r="C363" s="26">
        <f>ROUND(566.576,3)</f>
        <v>566.576</v>
      </c>
      <c r="D363" s="26">
        <f>F363</f>
        <v>574.162</v>
      </c>
      <c r="E363" s="26">
        <f>F363</f>
        <v>574.162</v>
      </c>
      <c r="F363" s="26">
        <f>ROUND(574.162,3)</f>
        <v>574.162</v>
      </c>
      <c r="G363" s="24"/>
      <c r="H363" s="36"/>
    </row>
    <row r="364" spans="1:8" ht="12.75" customHeight="1">
      <c r="A364" s="22">
        <v>42768</v>
      </c>
      <c r="B364" s="22"/>
      <c r="C364" s="26">
        <f>ROUND(566.576,3)</f>
        <v>566.576</v>
      </c>
      <c r="D364" s="26">
        <f>F364</f>
        <v>585.282</v>
      </c>
      <c r="E364" s="26">
        <f>F364</f>
        <v>585.282</v>
      </c>
      <c r="F364" s="26">
        <f>ROUND(585.282,3)</f>
        <v>585.282</v>
      </c>
      <c r="G364" s="24"/>
      <c r="H364" s="36"/>
    </row>
    <row r="365" spans="1:8" ht="12.75" customHeight="1">
      <c r="A365" s="22">
        <v>42859</v>
      </c>
      <c r="B365" s="22"/>
      <c r="C365" s="26">
        <f>ROUND(566.576,3)</f>
        <v>566.576</v>
      </c>
      <c r="D365" s="26">
        <f>F365</f>
        <v>597.111</v>
      </c>
      <c r="E365" s="26">
        <f>F365</f>
        <v>597.111</v>
      </c>
      <c r="F365" s="26">
        <f>ROUND(597.111,3)</f>
        <v>597.111</v>
      </c>
      <c r="G365" s="24"/>
      <c r="H365" s="36"/>
    </row>
    <row r="366" spans="1:8" ht="12.75" customHeight="1">
      <c r="A366" s="22">
        <v>42950</v>
      </c>
      <c r="B366" s="22"/>
      <c r="C366" s="26">
        <f>ROUND(566.576,3)</f>
        <v>566.576</v>
      </c>
      <c r="D366" s="26">
        <f>F366</f>
        <v>609.698</v>
      </c>
      <c r="E366" s="26">
        <f>F366</f>
        <v>609.698</v>
      </c>
      <c r="F366" s="26">
        <f>ROUND(609.698,3)</f>
        <v>609.698</v>
      </c>
      <c r="G366" s="24"/>
      <c r="H366" s="36"/>
    </row>
    <row r="367" spans="1:8" ht="12.75" customHeight="1">
      <c r="A367" s="22" t="s">
        <v>82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42677</v>
      </c>
      <c r="B368" s="22"/>
      <c r="C368" s="26">
        <f>ROUND(516.442,3)</f>
        <v>516.442</v>
      </c>
      <c r="D368" s="26">
        <f>F368</f>
        <v>523.357</v>
      </c>
      <c r="E368" s="26">
        <f>F368</f>
        <v>523.357</v>
      </c>
      <c r="F368" s="26">
        <f>ROUND(523.357,3)</f>
        <v>523.357</v>
      </c>
      <c r="G368" s="24"/>
      <c r="H368" s="36"/>
    </row>
    <row r="369" spans="1:8" ht="12.75" customHeight="1">
      <c r="A369" s="22">
        <v>42768</v>
      </c>
      <c r="B369" s="22"/>
      <c r="C369" s="26">
        <f>ROUND(516.442,3)</f>
        <v>516.442</v>
      </c>
      <c r="D369" s="26">
        <f>F369</f>
        <v>533.493</v>
      </c>
      <c r="E369" s="26">
        <f>F369</f>
        <v>533.493</v>
      </c>
      <c r="F369" s="26">
        <f>ROUND(533.493,3)</f>
        <v>533.493</v>
      </c>
      <c r="G369" s="24"/>
      <c r="H369" s="36"/>
    </row>
    <row r="370" spans="1:8" ht="12.75" customHeight="1">
      <c r="A370" s="22">
        <v>42859</v>
      </c>
      <c r="B370" s="22"/>
      <c r="C370" s="26">
        <f>ROUND(516.442,3)</f>
        <v>516.442</v>
      </c>
      <c r="D370" s="26">
        <f>F370</f>
        <v>544.275</v>
      </c>
      <c r="E370" s="26">
        <f>F370</f>
        <v>544.275</v>
      </c>
      <c r="F370" s="26">
        <f>ROUND(544.275,3)</f>
        <v>544.275</v>
      </c>
      <c r="G370" s="24"/>
      <c r="H370" s="36"/>
    </row>
    <row r="371" spans="1:8" ht="12.75" customHeight="1">
      <c r="A371" s="22">
        <v>42950</v>
      </c>
      <c r="B371" s="22"/>
      <c r="C371" s="26">
        <f>ROUND(516.442,3)</f>
        <v>516.442</v>
      </c>
      <c r="D371" s="26">
        <f>F371</f>
        <v>555.748</v>
      </c>
      <c r="E371" s="26">
        <f>F371</f>
        <v>555.748</v>
      </c>
      <c r="F371" s="26">
        <f>ROUND(555.748,3)</f>
        <v>555.748</v>
      </c>
      <c r="G371" s="24"/>
      <c r="H371" s="36"/>
    </row>
    <row r="372" spans="1:8" ht="12.75" customHeight="1">
      <c r="A372" s="22" t="s">
        <v>83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42677</v>
      </c>
      <c r="B373" s="22"/>
      <c r="C373" s="26">
        <f>ROUND(246.676211715013,3)</f>
        <v>246.676</v>
      </c>
      <c r="D373" s="26">
        <f>F373</f>
        <v>249.99</v>
      </c>
      <c r="E373" s="26">
        <f>F373</f>
        <v>249.99</v>
      </c>
      <c r="F373" s="26">
        <f>ROUND(249.99,3)</f>
        <v>249.99</v>
      </c>
      <c r="G373" s="24"/>
      <c r="H373" s="36"/>
    </row>
    <row r="374" spans="1:8" ht="12.75" customHeight="1">
      <c r="A374" s="22">
        <v>42768</v>
      </c>
      <c r="B374" s="22"/>
      <c r="C374" s="26">
        <f>ROUND(246.676211715013,3)</f>
        <v>246.676</v>
      </c>
      <c r="D374" s="26">
        <f>F374</f>
        <v>254.847</v>
      </c>
      <c r="E374" s="26">
        <f>F374</f>
        <v>254.847</v>
      </c>
      <c r="F374" s="26">
        <f>ROUND(254.847,3)</f>
        <v>254.847</v>
      </c>
      <c r="G374" s="24"/>
      <c r="H374" s="36"/>
    </row>
    <row r="375" spans="1:8" ht="12.75" customHeight="1">
      <c r="A375" s="22">
        <v>42859</v>
      </c>
      <c r="B375" s="22"/>
      <c r="C375" s="26">
        <f>ROUND(246.676211715013,3)</f>
        <v>246.676</v>
      </c>
      <c r="D375" s="26">
        <f>F375</f>
        <v>260.012</v>
      </c>
      <c r="E375" s="26">
        <f>F375</f>
        <v>260.012</v>
      </c>
      <c r="F375" s="26">
        <f>ROUND(260.012,3)</f>
        <v>260.012</v>
      </c>
      <c r="G375" s="24"/>
      <c r="H375" s="36"/>
    </row>
    <row r="376" spans="1:8" ht="12.75" customHeight="1">
      <c r="A376" s="22">
        <v>42950</v>
      </c>
      <c r="B376" s="22"/>
      <c r="C376" s="26">
        <f>ROUND(246.676211715013,3)</f>
        <v>246.676</v>
      </c>
      <c r="D376" s="26">
        <f>F376</f>
        <v>265.508</v>
      </c>
      <c r="E376" s="26">
        <f>F376</f>
        <v>265.508</v>
      </c>
      <c r="F376" s="26">
        <f>ROUND(265.508,3)</f>
        <v>265.508</v>
      </c>
      <c r="G376" s="24"/>
      <c r="H376" s="36"/>
    </row>
    <row r="377" spans="1:8" ht="12.75" customHeight="1">
      <c r="A377" s="22" t="s">
        <v>84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42677</v>
      </c>
      <c r="B378" s="22"/>
      <c r="C378" s="26">
        <f>ROUND(667.974691470386,3)</f>
        <v>667.975</v>
      </c>
      <c r="D378" s="26">
        <f>F378</f>
        <v>677.235</v>
      </c>
      <c r="E378" s="26">
        <f>F378</f>
        <v>677.235</v>
      </c>
      <c r="F378" s="26">
        <f>ROUND(677.235,3)</f>
        <v>677.235</v>
      </c>
      <c r="G378" s="24"/>
      <c r="H378" s="36"/>
    </row>
    <row r="379" spans="1:8" ht="12.75" customHeight="1">
      <c r="A379" s="22">
        <v>42768</v>
      </c>
      <c r="B379" s="22"/>
      <c r="C379" s="26">
        <f>ROUND(667.974691470386,3)</f>
        <v>667.975</v>
      </c>
      <c r="D379" s="26">
        <f>F379</f>
        <v>690.389</v>
      </c>
      <c r="E379" s="26">
        <f>F379</f>
        <v>690.389</v>
      </c>
      <c r="F379" s="26">
        <f>ROUND(690.389,3)</f>
        <v>690.389</v>
      </c>
      <c r="G379" s="24"/>
      <c r="H379" s="36"/>
    </row>
    <row r="380" spans="1:8" ht="12.75" customHeight="1">
      <c r="A380" s="22">
        <v>42859</v>
      </c>
      <c r="B380" s="22"/>
      <c r="C380" s="26">
        <f>ROUND(667.974691470386,3)</f>
        <v>667.975</v>
      </c>
      <c r="D380" s="26">
        <f>F380</f>
        <v>703.979</v>
      </c>
      <c r="E380" s="26">
        <f>F380</f>
        <v>703.979</v>
      </c>
      <c r="F380" s="26">
        <f>ROUND(703.979,3)</f>
        <v>703.979</v>
      </c>
      <c r="G380" s="24"/>
      <c r="H380" s="36"/>
    </row>
    <row r="381" spans="1:8" ht="12.75" customHeight="1">
      <c r="A381" s="22">
        <v>42950</v>
      </c>
      <c r="B381" s="22"/>
      <c r="C381" s="26">
        <f>ROUND(667.974691470386,3)</f>
        <v>667.975</v>
      </c>
      <c r="D381" s="26">
        <f>F381</f>
        <v>717.755</v>
      </c>
      <c r="E381" s="26">
        <f>F381</f>
        <v>717.755</v>
      </c>
      <c r="F381" s="26">
        <f>ROUND(717.755,3)</f>
        <v>717.755</v>
      </c>
      <c r="G381" s="24"/>
      <c r="H381" s="36"/>
    </row>
    <row r="382" spans="1:8" ht="12.75" customHeight="1">
      <c r="A382" s="22" t="s">
        <v>85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42677</v>
      </c>
      <c r="B383" s="22"/>
      <c r="C383" s="26">
        <f>ROUND(514.781,3)</f>
        <v>514.781</v>
      </c>
      <c r="D383" s="26">
        <f>F383</f>
        <v>521.674</v>
      </c>
      <c r="E383" s="26">
        <f>F383</f>
        <v>521.674</v>
      </c>
      <c r="F383" s="26">
        <f>ROUND(521.674,3)</f>
        <v>521.674</v>
      </c>
      <c r="G383" s="24"/>
      <c r="H383" s="36"/>
    </row>
    <row r="384" spans="1:8" ht="12.75" customHeight="1">
      <c r="A384" s="22">
        <v>42768</v>
      </c>
      <c r="B384" s="22"/>
      <c r="C384" s="26">
        <f>ROUND(514.781,3)</f>
        <v>514.781</v>
      </c>
      <c r="D384" s="26">
        <f>F384</f>
        <v>531.777</v>
      </c>
      <c r="E384" s="26">
        <f>F384</f>
        <v>531.777</v>
      </c>
      <c r="F384" s="26">
        <f>ROUND(531.777,3)</f>
        <v>531.777</v>
      </c>
      <c r="G384" s="24"/>
      <c r="H384" s="36"/>
    </row>
    <row r="385" spans="1:8" ht="12.75" customHeight="1">
      <c r="A385" s="22">
        <v>42859</v>
      </c>
      <c r="B385" s="22"/>
      <c r="C385" s="26">
        <f>ROUND(514.781,3)</f>
        <v>514.781</v>
      </c>
      <c r="D385" s="26">
        <f>F385</f>
        <v>542.524</v>
      </c>
      <c r="E385" s="26">
        <f>F385</f>
        <v>542.524</v>
      </c>
      <c r="F385" s="26">
        <f>ROUND(542.524,3)</f>
        <v>542.524</v>
      </c>
      <c r="G385" s="24"/>
      <c r="H385" s="36"/>
    </row>
    <row r="386" spans="1:8" ht="12.75" customHeight="1" thickBot="1">
      <c r="A386" s="32">
        <v>42950</v>
      </c>
      <c r="B386" s="32"/>
      <c r="C386" s="33">
        <f>ROUND(514.781,3)</f>
        <v>514.781</v>
      </c>
      <c r="D386" s="33">
        <f>F386</f>
        <v>553.961</v>
      </c>
      <c r="E386" s="33">
        <f>F386</f>
        <v>553.961</v>
      </c>
      <c r="F386" s="33">
        <f>ROUND(553.961,3)</f>
        <v>553.961</v>
      </c>
      <c r="G386" s="34"/>
      <c r="H386" s="37"/>
    </row>
  </sheetData>
  <sheetProtection/>
  <mergeCells count="385">
    <mergeCell ref="A382:B382"/>
    <mergeCell ref="A383:B383"/>
    <mergeCell ref="A384:B384"/>
    <mergeCell ref="A385:B385"/>
    <mergeCell ref="A386:B386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2016-08-30T13:30:59Z</dcterms:modified>
  <cp:category/>
  <cp:version/>
  <cp:contentType/>
  <cp:contentStatus/>
</cp:coreProperties>
</file>