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<sst xmlns="http://schemas.openxmlformats.org/spreadsheetml/2006/main" count="117" uniqueCount="117">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</sst>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7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410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42775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ROUND(2.08,5)</f>
        <v>2.08</v>
      </c>
      <c r="D6" s="20">
        <f>F6</f>
        <v>2.08</v>
      </c>
      <c r="E6" s="20">
        <f>F6</f>
        <v>2.08</v>
      </c>
      <c r="F6" s="20">
        <f>ROUND(2.08,5)</f>
        <v>2.08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ROUND(2,5)</f>
        <v>2</v>
      </c>
      <c r="D8" s="20">
        <f>F8</f>
        <v>2</v>
      </c>
      <c r="E8" s="20">
        <f>F8</f>
        <v>2</v>
      </c>
      <c r="F8" s="20">
        <f>ROUND(2,5)</f>
        <v>2</v>
      </c>
      <c r="G8" s="19"/>
      <c r="H8" s="29"/>
    </row>
    <row r="9" spans="1:8" ht="12.75" customHeight="1">
      <c r="A9" s="31" t="s">
        <v>14</v>
      </c>
      <c r="B9" s="31"/>
      <c r="C9" s="21"/>
      <c r="D9" s="21"/>
      <c r="E9" s="21"/>
      <c r="F9" s="21"/>
      <c r="G9" s="19"/>
      <c r="H9" s="29"/>
    </row>
    <row r="10" spans="1:8" ht="12.75" customHeight="1">
      <c r="A10" s="31">
        <v>55153</v>
      </c>
      <c r="B10" s="31"/>
      <c r="C10" s="20">
        <f>ROUND(2.04,5)</f>
        <v>2.04</v>
      </c>
      <c r="D10" s="20">
        <f>F10</f>
        <v>2.04</v>
      </c>
      <c r="E10" s="20">
        <f>F10</f>
        <v>2.04</v>
      </c>
      <c r="F10" s="20">
        <f>ROUND(2.04,5)</f>
        <v>2.04</v>
      </c>
      <c r="G10" s="19"/>
      <c r="H10" s="29"/>
    </row>
    <row r="11" spans="1:8" ht="12.75" customHeight="1">
      <c r="A11" s="31" t="s">
        <v>15</v>
      </c>
      <c r="B11" s="31"/>
      <c r="C11" s="21"/>
      <c r="D11" s="21"/>
      <c r="E11" s="21"/>
      <c r="F11" s="21"/>
      <c r="G11" s="19"/>
      <c r="H11" s="29"/>
    </row>
    <row r="12" spans="1:8" ht="12.75" customHeight="1">
      <c r="A12" s="31">
        <v>46875</v>
      </c>
      <c r="B12" s="31"/>
      <c r="C12" s="20">
        <f>ROUND(2.69,5)</f>
        <v>2.69</v>
      </c>
      <c r="D12" s="20">
        <f>F12</f>
        <v>2.69</v>
      </c>
      <c r="E12" s="20">
        <f>F12</f>
        <v>2.69</v>
      </c>
      <c r="F12" s="20">
        <f>ROUND(2.69,5)</f>
        <v>2.69</v>
      </c>
      <c r="G12" s="19"/>
      <c r="H12" s="29"/>
    </row>
    <row r="13" spans="1:8" ht="12.75" customHeight="1">
      <c r="A13" s="31" t="s">
        <v>16</v>
      </c>
      <c r="B13" s="31"/>
      <c r="C13" s="21"/>
      <c r="D13" s="21"/>
      <c r="E13" s="21"/>
      <c r="F13" s="21"/>
      <c r="G13" s="19"/>
      <c r="H13" s="29"/>
    </row>
    <row r="14" spans="1:8" ht="12.75" customHeight="1">
      <c r="A14" s="31">
        <v>48837</v>
      </c>
      <c r="B14" s="31"/>
      <c r="C14" s="20">
        <f>ROUND(10.435,5)</f>
        <v>10.435</v>
      </c>
      <c r="D14" s="20">
        <f>F14</f>
        <v>10.435</v>
      </c>
      <c r="E14" s="20">
        <f>F14</f>
        <v>10.435</v>
      </c>
      <c r="F14" s="20">
        <f>ROUND(10.435,5)</f>
        <v>10.435</v>
      </c>
      <c r="G14" s="19"/>
      <c r="H14" s="29"/>
    </row>
    <row r="15" spans="1:8" ht="12.75" customHeight="1">
      <c r="A15" s="31" t="s">
        <v>17</v>
      </c>
      <c r="B15" s="31"/>
      <c r="C15" s="21"/>
      <c r="D15" s="21"/>
      <c r="E15" s="21"/>
      <c r="F15" s="21"/>
      <c r="G15" s="19"/>
      <c r="H15" s="29"/>
    </row>
    <row r="16" spans="1:8" ht="12.75" customHeight="1">
      <c r="A16" s="31">
        <v>44985</v>
      </c>
      <c r="B16" s="31"/>
      <c r="C16" s="20">
        <f>ROUND(8.385,5)</f>
        <v>8.385</v>
      </c>
      <c r="D16" s="20">
        <f>F16</f>
        <v>8.385</v>
      </c>
      <c r="E16" s="20">
        <f>F16</f>
        <v>8.385</v>
      </c>
      <c r="F16" s="20">
        <f>ROUND(8.385,5)</f>
        <v>8.385</v>
      </c>
      <c r="G16" s="19"/>
      <c r="H16" s="29"/>
    </row>
    <row r="17" spans="1:8" ht="12.75" customHeight="1">
      <c r="A17" s="31" t="s">
        <v>18</v>
      </c>
      <c r="B17" s="31"/>
      <c r="C17" s="21"/>
      <c r="D17" s="21"/>
      <c r="E17" s="21"/>
      <c r="F17" s="21"/>
      <c r="G17" s="19"/>
      <c r="H17" s="29"/>
    </row>
    <row r="18" spans="1:8" ht="12.75" customHeight="1">
      <c r="A18" s="31">
        <v>46377</v>
      </c>
      <c r="B18" s="31"/>
      <c r="C18" s="22">
        <f>ROUND(8.785,3)</f>
        <v>8.785</v>
      </c>
      <c r="D18" s="22">
        <f>F18</f>
        <v>8.785</v>
      </c>
      <c r="E18" s="22">
        <f>F18</f>
        <v>8.785</v>
      </c>
      <c r="F18" s="22">
        <f>ROUND(8.785,3)</f>
        <v>8.785</v>
      </c>
      <c r="G18" s="19"/>
      <c r="H18" s="29"/>
    </row>
    <row r="19" spans="1:8" ht="12.75" customHeight="1">
      <c r="A19" s="31" t="s">
        <v>19</v>
      </c>
      <c r="B19" s="31"/>
      <c r="C19" s="21"/>
      <c r="D19" s="21"/>
      <c r="E19" s="21"/>
      <c r="F19" s="21"/>
      <c r="G19" s="19"/>
      <c r="H19" s="29"/>
    </row>
    <row r="20" spans="1:8" ht="12.75" customHeight="1">
      <c r="A20" s="31">
        <v>45267</v>
      </c>
      <c r="B20" s="31"/>
      <c r="C20" s="22">
        <f>ROUND(2.07,3)</f>
        <v>2.07</v>
      </c>
      <c r="D20" s="22">
        <f>F20</f>
        <v>2.07</v>
      </c>
      <c r="E20" s="22">
        <f>F20</f>
        <v>2.07</v>
      </c>
      <c r="F20" s="22">
        <f>ROUND(2.07,3)</f>
        <v>2.07</v>
      </c>
      <c r="G20" s="19"/>
      <c r="H20" s="29"/>
    </row>
    <row r="21" spans="1:8" ht="12.75" customHeight="1">
      <c r="A21" s="31" t="s">
        <v>20</v>
      </c>
      <c r="B21" s="31"/>
      <c r="C21" s="21"/>
      <c r="D21" s="21"/>
      <c r="E21" s="21"/>
      <c r="F21" s="21"/>
      <c r="G21" s="19"/>
      <c r="H21" s="29"/>
    </row>
    <row r="22" spans="1:8" ht="12.75" customHeight="1">
      <c r="A22" s="31">
        <v>48920</v>
      </c>
      <c r="B22" s="31"/>
      <c r="C22" s="22">
        <f>ROUND(2.07,3)</f>
        <v>2.07</v>
      </c>
      <c r="D22" s="22">
        <f>F22</f>
        <v>2.07</v>
      </c>
      <c r="E22" s="22">
        <f>F22</f>
        <v>2.07</v>
      </c>
      <c r="F22" s="22">
        <f>ROUND(2.07,3)</f>
        <v>2.07</v>
      </c>
      <c r="G22" s="19"/>
      <c r="H22" s="29"/>
    </row>
    <row r="23" spans="1:8" ht="12.75" customHeight="1">
      <c r="A23" s="31" t="s">
        <v>21</v>
      </c>
      <c r="B23" s="31"/>
      <c r="C23" s="21"/>
      <c r="D23" s="21"/>
      <c r="E23" s="21"/>
      <c r="F23" s="21"/>
      <c r="G23" s="19"/>
      <c r="H23" s="29"/>
    </row>
    <row r="24" spans="1:8" ht="12.75" customHeight="1">
      <c r="A24" s="31">
        <v>42993</v>
      </c>
      <c r="B24" s="31"/>
      <c r="C24" s="22">
        <f>ROUND(7.615,3)</f>
        <v>7.615</v>
      </c>
      <c r="D24" s="22">
        <f>F24</f>
        <v>7.615</v>
      </c>
      <c r="E24" s="22">
        <f>F24</f>
        <v>7.615</v>
      </c>
      <c r="F24" s="22">
        <f>ROUND(7.615,3)</f>
        <v>7.615</v>
      </c>
      <c r="G24" s="19"/>
      <c r="H24" s="29"/>
    </row>
    <row r="25" spans="1:8" ht="12.75" customHeight="1">
      <c r="A25" s="31" t="s">
        <v>22</v>
      </c>
      <c r="B25" s="31"/>
      <c r="C25" s="21"/>
      <c r="D25" s="21"/>
      <c r="E25" s="21"/>
      <c r="F25" s="21"/>
      <c r="G25" s="19"/>
      <c r="H25" s="29"/>
    </row>
    <row r="26" spans="1:8" ht="12.75" customHeight="1">
      <c r="A26" s="31">
        <v>43455</v>
      </c>
      <c r="B26" s="31"/>
      <c r="C26" s="22">
        <f>ROUND(7.705,3)</f>
        <v>7.705</v>
      </c>
      <c r="D26" s="22">
        <f>F26</f>
        <v>7.705</v>
      </c>
      <c r="E26" s="22">
        <f>F26</f>
        <v>7.705</v>
      </c>
      <c r="F26" s="22">
        <f>ROUND(7.705,3)</f>
        <v>7.705</v>
      </c>
      <c r="G26" s="19"/>
      <c r="H26" s="29"/>
    </row>
    <row r="27" spans="1:8" ht="12.75" customHeight="1">
      <c r="A27" s="31" t="s">
        <v>23</v>
      </c>
      <c r="B27" s="31"/>
      <c r="C27" s="21"/>
      <c r="D27" s="21"/>
      <c r="E27" s="21"/>
      <c r="F27" s="21"/>
      <c r="G27" s="19"/>
      <c r="H27" s="29"/>
    </row>
    <row r="28" spans="1:8" ht="12.75" customHeight="1">
      <c r="A28" s="31">
        <v>43845</v>
      </c>
      <c r="B28" s="31"/>
      <c r="C28" s="22">
        <f>ROUND(7.895,3)</f>
        <v>7.895</v>
      </c>
      <c r="D28" s="22">
        <f>F28</f>
        <v>7.895</v>
      </c>
      <c r="E28" s="22">
        <f>F28</f>
        <v>7.895</v>
      </c>
      <c r="F28" s="22">
        <f>ROUND(7.895,3)</f>
        <v>7.895</v>
      </c>
      <c r="G28" s="19"/>
      <c r="H28" s="29"/>
    </row>
    <row r="29" spans="1:8" ht="12.75" customHeight="1">
      <c r="A29" s="31" t="s">
        <v>24</v>
      </c>
      <c r="B29" s="31"/>
      <c r="C29" s="21"/>
      <c r="D29" s="21"/>
      <c r="E29" s="21"/>
      <c r="F29" s="21"/>
      <c r="G29" s="19"/>
      <c r="H29" s="29"/>
    </row>
    <row r="30" spans="1:8" ht="12.75" customHeight="1">
      <c r="A30" s="31">
        <v>44286</v>
      </c>
      <c r="B30" s="31"/>
      <c r="C30" s="22">
        <f>ROUND(8.07,3)</f>
        <v>8.07</v>
      </c>
      <c r="D30" s="22">
        <f>F30</f>
        <v>8.07</v>
      </c>
      <c r="E30" s="22">
        <f>F30</f>
        <v>8.07</v>
      </c>
      <c r="F30" s="22">
        <f>ROUND(8.07,3)</f>
        <v>8.07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49765</v>
      </c>
      <c r="B32" s="31"/>
      <c r="C32" s="22">
        <f>ROUND(9.425,3)</f>
        <v>9.425</v>
      </c>
      <c r="D32" s="22">
        <f>F32</f>
        <v>9.425</v>
      </c>
      <c r="E32" s="22">
        <f>F32</f>
        <v>9.425</v>
      </c>
      <c r="F32" s="22">
        <f>ROUND(9.425,3)</f>
        <v>9.425</v>
      </c>
      <c r="G32" s="19"/>
      <c r="H32" s="29"/>
    </row>
    <row r="33" spans="1:8" ht="12.75" customHeight="1">
      <c r="A33" s="31" t="s">
        <v>26</v>
      </c>
      <c r="B33" s="31"/>
      <c r="C33" s="21"/>
      <c r="D33" s="21"/>
      <c r="E33" s="21"/>
      <c r="F33" s="21"/>
      <c r="G33" s="19"/>
      <c r="H33" s="29"/>
    </row>
    <row r="34" spans="1:8" ht="12.75" customHeight="1">
      <c r="A34" s="31">
        <v>46843</v>
      </c>
      <c r="B34" s="31"/>
      <c r="C34" s="22">
        <f>ROUND(2.02,3)</f>
        <v>2.02</v>
      </c>
      <c r="D34" s="22">
        <f>F34</f>
        <v>2.02</v>
      </c>
      <c r="E34" s="22">
        <f>F34</f>
        <v>2.02</v>
      </c>
      <c r="F34" s="22">
        <f>ROUND(2.02,3)</f>
        <v>2.02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44592</v>
      </c>
      <c r="B36" s="31"/>
      <c r="C36" s="22">
        <f>ROUND(2.06,3)</f>
        <v>2.06</v>
      </c>
      <c r="D36" s="22">
        <f>F36</f>
        <v>2.06</v>
      </c>
      <c r="E36" s="22">
        <f>F36</f>
        <v>2.06</v>
      </c>
      <c r="F36" s="22">
        <f>ROUND(2.06,3)</f>
        <v>2.06</v>
      </c>
      <c r="G36" s="19"/>
      <c r="H36" s="29"/>
    </row>
    <row r="37" spans="1:8" ht="12.75" customHeight="1">
      <c r="A37" s="31" t="s">
        <v>28</v>
      </c>
      <c r="B37" s="31"/>
      <c r="C37" s="21"/>
      <c r="D37" s="21"/>
      <c r="E37" s="21"/>
      <c r="F37" s="21"/>
      <c r="G37" s="19"/>
      <c r="H37" s="29"/>
    </row>
    <row r="38" spans="1:8" ht="12.75" customHeight="1">
      <c r="A38" s="31">
        <v>47907</v>
      </c>
      <c r="B38" s="31"/>
      <c r="C38" s="22">
        <f>ROUND(9.205,3)</f>
        <v>9.205</v>
      </c>
      <c r="D38" s="22">
        <f>F38</f>
        <v>9.205</v>
      </c>
      <c r="E38" s="22">
        <f>F38</f>
        <v>9.205</v>
      </c>
      <c r="F38" s="22">
        <f>ROUND(9.205,3)</f>
        <v>9.205</v>
      </c>
      <c r="G38" s="19"/>
      <c r="H38" s="29"/>
    </row>
    <row r="39" spans="1:8" ht="12.75" customHeight="1">
      <c r="A39" s="31" t="s">
        <v>29</v>
      </c>
      <c r="B39" s="31"/>
      <c r="C39" s="18"/>
      <c r="D39" s="18"/>
      <c r="E39" s="18"/>
      <c r="F39" s="18"/>
      <c r="G39" s="19"/>
      <c r="H39" s="29"/>
    </row>
    <row r="40" spans="1:8" ht="12.75" customHeight="1">
      <c r="A40" s="31">
        <v>42859</v>
      </c>
      <c r="B40" s="31"/>
      <c r="C40" s="20">
        <f>ROUND(2.08,5)</f>
        <v>2.08</v>
      </c>
      <c r="D40" s="20">
        <f>F40</f>
        <v>129.69</v>
      </c>
      <c r="E40" s="20">
        <f>F40</f>
        <v>129.69</v>
      </c>
      <c r="F40" s="20">
        <f>ROUND(129.69,5)</f>
        <v>129.69</v>
      </c>
      <c r="G40" s="19"/>
      <c r="H40" s="29"/>
    </row>
    <row r="41" spans="1:8" ht="12.75" customHeight="1">
      <c r="A41" s="31">
        <v>42950</v>
      </c>
      <c r="B41" s="31"/>
      <c r="C41" s="20">
        <f>ROUND(2.08,5)</f>
        <v>2.08</v>
      </c>
      <c r="D41" s="20">
        <f>F41</f>
        <v>130.8598</v>
      </c>
      <c r="E41" s="20">
        <f>F41</f>
        <v>130.8598</v>
      </c>
      <c r="F41" s="20">
        <f>ROUND(130.8598,5)</f>
        <v>130.8598</v>
      </c>
      <c r="G41" s="19"/>
      <c r="H41" s="29"/>
    </row>
    <row r="42" spans="1:8" ht="12.75" customHeight="1">
      <c r="A42" s="31">
        <v>43041</v>
      </c>
      <c r="B42" s="31"/>
      <c r="C42" s="20">
        <f>ROUND(2.08,5)</f>
        <v>2.08</v>
      </c>
      <c r="D42" s="20">
        <f>F42</f>
        <v>133.48587</v>
      </c>
      <c r="E42" s="20">
        <f>F42</f>
        <v>133.48587</v>
      </c>
      <c r="F42" s="20">
        <f>ROUND(133.48587,5)</f>
        <v>133.48587</v>
      </c>
      <c r="G42" s="19"/>
      <c r="H42" s="29"/>
    </row>
    <row r="43" spans="1:8" ht="12.75" customHeight="1">
      <c r="A43" s="31">
        <v>43132</v>
      </c>
      <c r="B43" s="31"/>
      <c r="C43" s="20">
        <f>ROUND(2.08,5)</f>
        <v>2.08</v>
      </c>
      <c r="D43" s="20">
        <f>F43</f>
        <v>136.15707</v>
      </c>
      <c r="E43" s="20">
        <f>F43</f>
        <v>136.15707</v>
      </c>
      <c r="F43" s="20">
        <f>ROUND(136.15707,5)</f>
        <v>136.15707</v>
      </c>
      <c r="G43" s="19"/>
      <c r="H43" s="29"/>
    </row>
    <row r="44" spans="1:8" ht="12.75" customHeight="1">
      <c r="A44" s="31">
        <v>43223</v>
      </c>
      <c r="B44" s="31"/>
      <c r="C44" s="20">
        <f>ROUND(2.08,5)</f>
        <v>2.08</v>
      </c>
      <c r="D44" s="20">
        <f>F44</f>
        <v>138.72646</v>
      </c>
      <c r="E44" s="20">
        <f>F44</f>
        <v>138.72646</v>
      </c>
      <c r="F44" s="20">
        <f>ROUND(138.72646,5)</f>
        <v>138.72646</v>
      </c>
      <c r="G44" s="19"/>
      <c r="H44" s="29"/>
    </row>
    <row r="45" spans="1:8" ht="12.75" customHeight="1">
      <c r="A45" s="31" t="s">
        <v>30</v>
      </c>
      <c r="B45" s="31"/>
      <c r="C45" s="21"/>
      <c r="D45" s="21"/>
      <c r="E45" s="21"/>
      <c r="F45" s="21"/>
      <c r="G45" s="19"/>
      <c r="H45" s="29"/>
    </row>
    <row r="46" spans="1:8" ht="12.75" customHeight="1">
      <c r="A46" s="31">
        <v>42859</v>
      </c>
      <c r="B46" s="31"/>
      <c r="C46" s="20">
        <f>ROUND(100.91672,5)</f>
        <v>100.91672</v>
      </c>
      <c r="D46" s="20">
        <f>F46</f>
        <v>101.73134</v>
      </c>
      <c r="E46" s="20">
        <f>F46</f>
        <v>101.73134</v>
      </c>
      <c r="F46" s="20">
        <f>ROUND(101.73134,5)</f>
        <v>101.73134</v>
      </c>
      <c r="G46" s="19"/>
      <c r="H46" s="29"/>
    </row>
    <row r="47" spans="1:8" ht="12.75" customHeight="1">
      <c r="A47" s="31">
        <v>42950</v>
      </c>
      <c r="B47" s="31"/>
      <c r="C47" s="20">
        <f>ROUND(100.91672,5)</f>
        <v>100.91672</v>
      </c>
      <c r="D47" s="20">
        <f>F47</f>
        <v>103.70421</v>
      </c>
      <c r="E47" s="20">
        <f>F47</f>
        <v>103.70421</v>
      </c>
      <c r="F47" s="20">
        <f>ROUND(103.70421,5)</f>
        <v>103.70421</v>
      </c>
      <c r="G47" s="19"/>
      <c r="H47" s="29"/>
    </row>
    <row r="48" spans="1:8" ht="12.75" customHeight="1">
      <c r="A48" s="31">
        <v>43041</v>
      </c>
      <c r="B48" s="31"/>
      <c r="C48" s="20">
        <f>ROUND(100.91672,5)</f>
        <v>100.91672</v>
      </c>
      <c r="D48" s="20">
        <f>F48</f>
        <v>104.76426</v>
      </c>
      <c r="E48" s="20">
        <f>F48</f>
        <v>104.76426</v>
      </c>
      <c r="F48" s="20">
        <f>ROUND(104.76426,5)</f>
        <v>104.76426</v>
      </c>
      <c r="G48" s="19"/>
      <c r="H48" s="29"/>
    </row>
    <row r="49" spans="1:8" ht="12.75" customHeight="1">
      <c r="A49" s="31">
        <v>43132</v>
      </c>
      <c r="B49" s="31"/>
      <c r="C49" s="20">
        <f>ROUND(100.91672,5)</f>
        <v>100.91672</v>
      </c>
      <c r="D49" s="20">
        <f>F49</f>
        <v>106.89525</v>
      </c>
      <c r="E49" s="20">
        <f>F49</f>
        <v>106.89525</v>
      </c>
      <c r="F49" s="20">
        <f>ROUND(106.89525,5)</f>
        <v>106.89525</v>
      </c>
      <c r="G49" s="19"/>
      <c r="H49" s="29"/>
    </row>
    <row r="50" spans="1:8" ht="12.75" customHeight="1">
      <c r="A50" s="31">
        <v>43223</v>
      </c>
      <c r="B50" s="31"/>
      <c r="C50" s="20">
        <f>ROUND(100.91672,5)</f>
        <v>100.91672</v>
      </c>
      <c r="D50" s="20">
        <f>F50</f>
        <v>108.91209</v>
      </c>
      <c r="E50" s="20">
        <f>F50</f>
        <v>108.91209</v>
      </c>
      <c r="F50" s="20">
        <f>ROUND(108.91209,5)</f>
        <v>108.91209</v>
      </c>
      <c r="G50" s="19"/>
      <c r="H50" s="29"/>
    </row>
    <row r="51" spans="1:8" ht="12.75" customHeight="1">
      <c r="A51" s="31" t="s">
        <v>31</v>
      </c>
      <c r="B51" s="31"/>
      <c r="C51" s="21"/>
      <c r="D51" s="21"/>
      <c r="E51" s="21"/>
      <c r="F51" s="21"/>
      <c r="G51" s="19"/>
      <c r="H51" s="29"/>
    </row>
    <row r="52" spans="1:8" ht="12.75" customHeight="1">
      <c r="A52" s="31">
        <v>42859</v>
      </c>
      <c r="B52" s="31"/>
      <c r="C52" s="20">
        <f>ROUND(9.185,5)</f>
        <v>9.185</v>
      </c>
      <c r="D52" s="20">
        <f>F52</f>
        <v>9.23119</v>
      </c>
      <c r="E52" s="20">
        <f>F52</f>
        <v>9.23119</v>
      </c>
      <c r="F52" s="20">
        <f>ROUND(9.23119,5)</f>
        <v>9.23119</v>
      </c>
      <c r="G52" s="19"/>
      <c r="H52" s="29"/>
    </row>
    <row r="53" spans="1:8" ht="12.75" customHeight="1">
      <c r="A53" s="31">
        <v>42950</v>
      </c>
      <c r="B53" s="31"/>
      <c r="C53" s="20">
        <f>ROUND(9.185,5)</f>
        <v>9.185</v>
      </c>
      <c r="D53" s="20">
        <f>F53</f>
        <v>9.28214</v>
      </c>
      <c r="E53" s="20">
        <f>F53</f>
        <v>9.28214</v>
      </c>
      <c r="F53" s="20">
        <f>ROUND(9.28214,5)</f>
        <v>9.28214</v>
      </c>
      <c r="G53" s="19"/>
      <c r="H53" s="29"/>
    </row>
    <row r="54" spans="1:8" ht="12.75" customHeight="1">
      <c r="A54" s="31">
        <v>43041</v>
      </c>
      <c r="B54" s="31"/>
      <c r="C54" s="20">
        <f>ROUND(9.185,5)</f>
        <v>9.185</v>
      </c>
      <c r="D54" s="20">
        <f>F54</f>
        <v>9.32009</v>
      </c>
      <c r="E54" s="20">
        <f>F54</f>
        <v>9.32009</v>
      </c>
      <c r="F54" s="20">
        <f>ROUND(9.32009,5)</f>
        <v>9.32009</v>
      </c>
      <c r="G54" s="19"/>
      <c r="H54" s="29"/>
    </row>
    <row r="55" spans="1:8" ht="12.75" customHeight="1">
      <c r="A55" s="31">
        <v>43132</v>
      </c>
      <c r="B55" s="31"/>
      <c r="C55" s="20">
        <f>ROUND(9.185,5)</f>
        <v>9.185</v>
      </c>
      <c r="D55" s="20">
        <f>F55</f>
        <v>9.3603</v>
      </c>
      <c r="E55" s="20">
        <f>F55</f>
        <v>9.3603</v>
      </c>
      <c r="F55" s="20">
        <f>ROUND(9.3603,5)</f>
        <v>9.3603</v>
      </c>
      <c r="G55" s="19"/>
      <c r="H55" s="29"/>
    </row>
    <row r="56" spans="1:8" ht="12.75" customHeight="1">
      <c r="A56" s="31">
        <v>43223</v>
      </c>
      <c r="B56" s="31"/>
      <c r="C56" s="20">
        <f>ROUND(9.185,5)</f>
        <v>9.185</v>
      </c>
      <c r="D56" s="20">
        <f>F56</f>
        <v>9.41926</v>
      </c>
      <c r="E56" s="20">
        <f>F56</f>
        <v>9.41926</v>
      </c>
      <c r="F56" s="20">
        <f>ROUND(9.41926,5)</f>
        <v>9.41926</v>
      </c>
      <c r="G56" s="19"/>
      <c r="H56" s="29"/>
    </row>
    <row r="57" spans="1:8" ht="12.75" customHeight="1">
      <c r="A57" s="31" t="s">
        <v>32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42859</v>
      </c>
      <c r="B58" s="31"/>
      <c r="C58" s="20">
        <f>ROUND(9.315,5)</f>
        <v>9.315</v>
      </c>
      <c r="D58" s="20">
        <f>F58</f>
        <v>9.36013</v>
      </c>
      <c r="E58" s="20">
        <f>F58</f>
        <v>9.36013</v>
      </c>
      <c r="F58" s="20">
        <f>ROUND(9.36013,5)</f>
        <v>9.36013</v>
      </c>
      <c r="G58" s="19"/>
      <c r="H58" s="29"/>
    </row>
    <row r="59" spans="1:8" ht="12.75" customHeight="1">
      <c r="A59" s="31">
        <v>42950</v>
      </c>
      <c r="B59" s="31"/>
      <c r="C59" s="20">
        <f>ROUND(9.315,5)</f>
        <v>9.315</v>
      </c>
      <c r="D59" s="20">
        <f>F59</f>
        <v>9.40828</v>
      </c>
      <c r="E59" s="20">
        <f>F59</f>
        <v>9.40828</v>
      </c>
      <c r="F59" s="20">
        <f>ROUND(9.40828,5)</f>
        <v>9.40828</v>
      </c>
      <c r="G59" s="19"/>
      <c r="H59" s="29"/>
    </row>
    <row r="60" spans="1:8" ht="12.75" customHeight="1">
      <c r="A60" s="31">
        <v>43041</v>
      </c>
      <c r="B60" s="31"/>
      <c r="C60" s="20">
        <f>ROUND(9.315,5)</f>
        <v>9.315</v>
      </c>
      <c r="D60" s="20">
        <f>F60</f>
        <v>9.45016</v>
      </c>
      <c r="E60" s="20">
        <f>F60</f>
        <v>9.45016</v>
      </c>
      <c r="F60" s="20">
        <f>ROUND(9.45016,5)</f>
        <v>9.45016</v>
      </c>
      <c r="G60" s="19"/>
      <c r="H60" s="29"/>
    </row>
    <row r="61" spans="1:8" ht="12.75" customHeight="1">
      <c r="A61" s="31">
        <v>43132</v>
      </c>
      <c r="B61" s="31"/>
      <c r="C61" s="20">
        <f>ROUND(9.315,5)</f>
        <v>9.315</v>
      </c>
      <c r="D61" s="20">
        <f>F61</f>
        <v>9.49402</v>
      </c>
      <c r="E61" s="20">
        <f>F61</f>
        <v>9.49402</v>
      </c>
      <c r="F61" s="20">
        <f>ROUND(9.49402,5)</f>
        <v>9.49402</v>
      </c>
      <c r="G61" s="19"/>
      <c r="H61" s="29"/>
    </row>
    <row r="62" spans="1:8" ht="12.75" customHeight="1">
      <c r="A62" s="31">
        <v>43223</v>
      </c>
      <c r="B62" s="31"/>
      <c r="C62" s="20">
        <f>ROUND(9.315,5)</f>
        <v>9.315</v>
      </c>
      <c r="D62" s="20">
        <f>F62</f>
        <v>9.55094</v>
      </c>
      <c r="E62" s="20">
        <f>F62</f>
        <v>9.55094</v>
      </c>
      <c r="F62" s="20">
        <f>ROUND(9.55094,5)</f>
        <v>9.55094</v>
      </c>
      <c r="G62" s="19"/>
      <c r="H62" s="29"/>
    </row>
    <row r="63" spans="1:8" ht="12.75" customHeight="1">
      <c r="A63" s="31" t="s">
        <v>33</v>
      </c>
      <c r="B63" s="31"/>
      <c r="C63" s="21"/>
      <c r="D63" s="21"/>
      <c r="E63" s="21"/>
      <c r="F63" s="21"/>
      <c r="G63" s="19"/>
      <c r="H63" s="29"/>
    </row>
    <row r="64" spans="1:8" ht="12.75" customHeight="1">
      <c r="A64" s="31">
        <v>42859</v>
      </c>
      <c r="B64" s="31"/>
      <c r="C64" s="20">
        <f>ROUND(107.67909,5)</f>
        <v>107.67909</v>
      </c>
      <c r="D64" s="20">
        <f>F64</f>
        <v>108.54672</v>
      </c>
      <c r="E64" s="20">
        <f>F64</f>
        <v>108.54672</v>
      </c>
      <c r="F64" s="20">
        <f>ROUND(108.54672,5)</f>
        <v>108.54672</v>
      </c>
      <c r="G64" s="19"/>
      <c r="H64" s="29"/>
    </row>
    <row r="65" spans="1:8" ht="12.75" customHeight="1">
      <c r="A65" s="31">
        <v>42950</v>
      </c>
      <c r="B65" s="31"/>
      <c r="C65" s="20">
        <f>ROUND(107.67909,5)</f>
        <v>107.67909</v>
      </c>
      <c r="D65" s="20">
        <f>F65</f>
        <v>110.65181</v>
      </c>
      <c r="E65" s="20">
        <f>F65</f>
        <v>110.65181</v>
      </c>
      <c r="F65" s="20">
        <f>ROUND(110.65181,5)</f>
        <v>110.65181</v>
      </c>
      <c r="G65" s="19"/>
      <c r="H65" s="29"/>
    </row>
    <row r="66" spans="1:8" ht="12.75" customHeight="1">
      <c r="A66" s="31">
        <v>43041</v>
      </c>
      <c r="B66" s="31"/>
      <c r="C66" s="20">
        <f>ROUND(107.67909,5)</f>
        <v>107.67909</v>
      </c>
      <c r="D66" s="20">
        <f>F66</f>
        <v>111.78198</v>
      </c>
      <c r="E66" s="20">
        <f>F66</f>
        <v>111.78198</v>
      </c>
      <c r="F66" s="20">
        <f>ROUND(111.78198,5)</f>
        <v>111.78198</v>
      </c>
      <c r="G66" s="19"/>
      <c r="H66" s="29"/>
    </row>
    <row r="67" spans="1:8" ht="12.75" customHeight="1">
      <c r="A67" s="31">
        <v>43132</v>
      </c>
      <c r="B67" s="31"/>
      <c r="C67" s="20">
        <f>ROUND(107.67909,5)</f>
        <v>107.67909</v>
      </c>
      <c r="D67" s="20">
        <f>F67</f>
        <v>114.05567</v>
      </c>
      <c r="E67" s="20">
        <f>F67</f>
        <v>114.05567</v>
      </c>
      <c r="F67" s="20">
        <f>ROUND(114.05567,5)</f>
        <v>114.05567</v>
      </c>
      <c r="G67" s="19"/>
      <c r="H67" s="29"/>
    </row>
    <row r="68" spans="1:8" ht="12.75" customHeight="1">
      <c r="A68" s="31">
        <v>43223</v>
      </c>
      <c r="B68" s="31"/>
      <c r="C68" s="20">
        <f>ROUND(107.67909,5)</f>
        <v>107.67909</v>
      </c>
      <c r="D68" s="20">
        <f>F68</f>
        <v>116.20788</v>
      </c>
      <c r="E68" s="20">
        <f>F68</f>
        <v>116.20788</v>
      </c>
      <c r="F68" s="20">
        <f>ROUND(116.20788,5)</f>
        <v>116.20788</v>
      </c>
      <c r="G68" s="19"/>
      <c r="H68" s="29"/>
    </row>
    <row r="69" spans="1:8" ht="12.75" customHeight="1">
      <c r="A69" s="31" t="s">
        <v>34</v>
      </c>
      <c r="B69" s="31"/>
      <c r="C69" s="21"/>
      <c r="D69" s="21"/>
      <c r="E69" s="21"/>
      <c r="F69" s="21"/>
      <c r="G69" s="19"/>
      <c r="H69" s="29"/>
    </row>
    <row r="70" spans="1:8" ht="12.75" customHeight="1">
      <c r="A70" s="31">
        <v>42859</v>
      </c>
      <c r="B70" s="31"/>
      <c r="C70" s="20">
        <f>ROUND(9.53,5)</f>
        <v>9.53</v>
      </c>
      <c r="D70" s="20">
        <f>F70</f>
        <v>9.57791</v>
      </c>
      <c r="E70" s="20">
        <f>F70</f>
        <v>9.57791</v>
      </c>
      <c r="F70" s="20">
        <f>ROUND(9.57791,5)</f>
        <v>9.57791</v>
      </c>
      <c r="G70" s="19"/>
      <c r="H70" s="29"/>
    </row>
    <row r="71" spans="1:8" ht="12.75" customHeight="1">
      <c r="A71" s="31">
        <v>42950</v>
      </c>
      <c r="B71" s="31"/>
      <c r="C71" s="20">
        <f>ROUND(9.53,5)</f>
        <v>9.53</v>
      </c>
      <c r="D71" s="20">
        <f>F71</f>
        <v>9.63068</v>
      </c>
      <c r="E71" s="20">
        <f>F71</f>
        <v>9.63068</v>
      </c>
      <c r="F71" s="20">
        <f>ROUND(9.63068,5)</f>
        <v>9.63068</v>
      </c>
      <c r="G71" s="19"/>
      <c r="H71" s="29"/>
    </row>
    <row r="72" spans="1:8" ht="12.75" customHeight="1">
      <c r="A72" s="31">
        <v>43041</v>
      </c>
      <c r="B72" s="31"/>
      <c r="C72" s="20">
        <f>ROUND(9.53,5)</f>
        <v>9.53</v>
      </c>
      <c r="D72" s="20">
        <f>F72</f>
        <v>9.67203</v>
      </c>
      <c r="E72" s="20">
        <f>F72</f>
        <v>9.67203</v>
      </c>
      <c r="F72" s="20">
        <f>ROUND(9.67203,5)</f>
        <v>9.67203</v>
      </c>
      <c r="G72" s="19"/>
      <c r="H72" s="29"/>
    </row>
    <row r="73" spans="1:8" ht="12.75" customHeight="1">
      <c r="A73" s="31">
        <v>43132</v>
      </c>
      <c r="B73" s="31"/>
      <c r="C73" s="20">
        <f>ROUND(9.53,5)</f>
        <v>9.53</v>
      </c>
      <c r="D73" s="20">
        <f>F73</f>
        <v>9.7155</v>
      </c>
      <c r="E73" s="20">
        <f>F73</f>
        <v>9.7155</v>
      </c>
      <c r="F73" s="20">
        <f>ROUND(9.7155,5)</f>
        <v>9.7155</v>
      </c>
      <c r="G73" s="19"/>
      <c r="H73" s="29"/>
    </row>
    <row r="74" spans="1:8" ht="12.75" customHeight="1">
      <c r="A74" s="31">
        <v>43223</v>
      </c>
      <c r="B74" s="31"/>
      <c r="C74" s="20">
        <f>ROUND(9.53,5)</f>
        <v>9.53</v>
      </c>
      <c r="D74" s="20">
        <f>F74</f>
        <v>9.77445</v>
      </c>
      <c r="E74" s="20">
        <f>F74</f>
        <v>9.77445</v>
      </c>
      <c r="F74" s="20">
        <f>ROUND(9.77445,5)</f>
        <v>9.77445</v>
      </c>
      <c r="G74" s="19"/>
      <c r="H74" s="29"/>
    </row>
    <row r="75" spans="1:8" ht="12.75" customHeight="1">
      <c r="A75" s="31" t="s">
        <v>35</v>
      </c>
      <c r="B75" s="31"/>
      <c r="C75" s="21"/>
      <c r="D75" s="21"/>
      <c r="E75" s="21"/>
      <c r="F75" s="21"/>
      <c r="G75" s="19"/>
      <c r="H75" s="29"/>
    </row>
    <row r="76" spans="1:8" ht="12.75" customHeight="1">
      <c r="A76" s="31">
        <v>42859</v>
      </c>
      <c r="B76" s="31"/>
      <c r="C76" s="20">
        <f>ROUND(2,5)</f>
        <v>2</v>
      </c>
      <c r="D76" s="20">
        <f>F76</f>
        <v>136.02151</v>
      </c>
      <c r="E76" s="20">
        <f>F76</f>
        <v>136.02151</v>
      </c>
      <c r="F76" s="20">
        <f>ROUND(136.02151,5)</f>
        <v>136.02151</v>
      </c>
      <c r="G76" s="19"/>
      <c r="H76" s="29"/>
    </row>
    <row r="77" spans="1:8" ht="12.75" customHeight="1">
      <c r="A77" s="31">
        <v>42950</v>
      </c>
      <c r="B77" s="31"/>
      <c r="C77" s="20">
        <f>ROUND(2,5)</f>
        <v>2</v>
      </c>
      <c r="D77" s="20">
        <f>F77</f>
        <v>137.14589</v>
      </c>
      <c r="E77" s="20">
        <f>F77</f>
        <v>137.14589</v>
      </c>
      <c r="F77" s="20">
        <f>ROUND(137.14589,5)</f>
        <v>137.14589</v>
      </c>
      <c r="G77" s="19"/>
      <c r="H77" s="29"/>
    </row>
    <row r="78" spans="1:8" ht="12.75" customHeight="1">
      <c r="A78" s="31">
        <v>43041</v>
      </c>
      <c r="B78" s="31"/>
      <c r="C78" s="20">
        <f>ROUND(2,5)</f>
        <v>2</v>
      </c>
      <c r="D78" s="20">
        <f>F78</f>
        <v>139.89822</v>
      </c>
      <c r="E78" s="20">
        <f>F78</f>
        <v>139.89822</v>
      </c>
      <c r="F78" s="20">
        <f>ROUND(139.89822,5)</f>
        <v>139.89822</v>
      </c>
      <c r="G78" s="19"/>
      <c r="H78" s="29"/>
    </row>
    <row r="79" spans="1:8" ht="12.75" customHeight="1">
      <c r="A79" s="31">
        <v>43132</v>
      </c>
      <c r="B79" s="31"/>
      <c r="C79" s="20">
        <f>ROUND(2,5)</f>
        <v>2</v>
      </c>
      <c r="D79" s="20">
        <f>F79</f>
        <v>142.69426</v>
      </c>
      <c r="E79" s="20">
        <f>F79</f>
        <v>142.69426</v>
      </c>
      <c r="F79" s="20">
        <f>ROUND(142.69426,5)</f>
        <v>142.69426</v>
      </c>
      <c r="G79" s="19"/>
      <c r="H79" s="29"/>
    </row>
    <row r="80" spans="1:8" ht="12.75" customHeight="1">
      <c r="A80" s="31">
        <v>43223</v>
      </c>
      <c r="B80" s="31"/>
      <c r="C80" s="20">
        <f>ROUND(2,5)</f>
        <v>2</v>
      </c>
      <c r="D80" s="20">
        <f>F80</f>
        <v>145.38694</v>
      </c>
      <c r="E80" s="20">
        <f>F80</f>
        <v>145.38694</v>
      </c>
      <c r="F80" s="20">
        <f>ROUND(145.38694,5)</f>
        <v>145.38694</v>
      </c>
      <c r="G80" s="19"/>
      <c r="H80" s="29"/>
    </row>
    <row r="81" spans="1:8" ht="12.75" customHeight="1">
      <c r="A81" s="31" t="s">
        <v>36</v>
      </c>
      <c r="B81" s="31"/>
      <c r="C81" s="23"/>
      <c r="D81" s="23"/>
      <c r="E81" s="23"/>
      <c r="F81" s="23"/>
      <c r="G81" s="19"/>
      <c r="H81" s="29"/>
    </row>
    <row r="82" spans="1:8" ht="12.75" customHeight="1">
      <c r="A82" s="31">
        <v>42859</v>
      </c>
      <c r="B82" s="31"/>
      <c r="C82" s="20">
        <f>ROUND(9.54,5)</f>
        <v>9.54</v>
      </c>
      <c r="D82" s="20">
        <f>F82</f>
        <v>9.58663</v>
      </c>
      <c r="E82" s="20">
        <f>F82</f>
        <v>9.58663</v>
      </c>
      <c r="F82" s="20">
        <f>ROUND(9.58663,5)</f>
        <v>9.58663</v>
      </c>
      <c r="G82" s="19"/>
      <c r="H82" s="29"/>
    </row>
    <row r="83" spans="1:8" ht="12.75" customHeight="1">
      <c r="A83" s="31">
        <v>42950</v>
      </c>
      <c r="B83" s="31"/>
      <c r="C83" s="20">
        <f>ROUND(9.54,5)</f>
        <v>9.54</v>
      </c>
      <c r="D83" s="20">
        <f>F83</f>
        <v>9.63793</v>
      </c>
      <c r="E83" s="20">
        <f>F83</f>
        <v>9.63793</v>
      </c>
      <c r="F83" s="20">
        <f>ROUND(9.63793,5)</f>
        <v>9.63793</v>
      </c>
      <c r="G83" s="19"/>
      <c r="H83" s="29"/>
    </row>
    <row r="84" spans="1:8" ht="12.75" customHeight="1">
      <c r="A84" s="31">
        <v>43041</v>
      </c>
      <c r="B84" s="31"/>
      <c r="C84" s="20">
        <f>ROUND(9.54,5)</f>
        <v>9.54</v>
      </c>
      <c r="D84" s="20">
        <f>F84</f>
        <v>9.67809</v>
      </c>
      <c r="E84" s="20">
        <f>F84</f>
        <v>9.67809</v>
      </c>
      <c r="F84" s="20">
        <f>ROUND(9.67809,5)</f>
        <v>9.67809</v>
      </c>
      <c r="G84" s="19"/>
      <c r="H84" s="29"/>
    </row>
    <row r="85" spans="1:8" ht="12.75" customHeight="1">
      <c r="A85" s="31">
        <v>43132</v>
      </c>
      <c r="B85" s="31"/>
      <c r="C85" s="20">
        <f>ROUND(9.54,5)</f>
        <v>9.54</v>
      </c>
      <c r="D85" s="20">
        <f>F85</f>
        <v>9.72024</v>
      </c>
      <c r="E85" s="20">
        <f>F85</f>
        <v>9.72024</v>
      </c>
      <c r="F85" s="20">
        <f>ROUND(9.72024,5)</f>
        <v>9.72024</v>
      </c>
      <c r="G85" s="19"/>
      <c r="H85" s="29"/>
    </row>
    <row r="86" spans="1:8" ht="12.75" customHeight="1">
      <c r="A86" s="31">
        <v>43223</v>
      </c>
      <c r="B86" s="31"/>
      <c r="C86" s="20">
        <f>ROUND(9.54,5)</f>
        <v>9.54</v>
      </c>
      <c r="D86" s="20">
        <f>F86</f>
        <v>9.77724</v>
      </c>
      <c r="E86" s="20">
        <f>F86</f>
        <v>9.77724</v>
      </c>
      <c r="F86" s="20">
        <f>ROUND(9.77724,5)</f>
        <v>9.77724</v>
      </c>
      <c r="G86" s="19"/>
      <c r="H86" s="29"/>
    </row>
    <row r="87" spans="1:8" ht="12.75" customHeight="1">
      <c r="A87" s="31" t="s">
        <v>37</v>
      </c>
      <c r="B87" s="31"/>
      <c r="C87" s="21"/>
      <c r="D87" s="21"/>
      <c r="E87" s="21"/>
      <c r="F87" s="21"/>
      <c r="G87" s="19"/>
      <c r="H87" s="29"/>
    </row>
    <row r="88" spans="1:8" ht="12.75" customHeight="1">
      <c r="A88" s="31">
        <v>42859</v>
      </c>
      <c r="B88" s="31"/>
      <c r="C88" s="20">
        <f>ROUND(9.575,5)</f>
        <v>9.575</v>
      </c>
      <c r="D88" s="20">
        <f>F88</f>
        <v>9.62055</v>
      </c>
      <c r="E88" s="20">
        <f>F88</f>
        <v>9.62055</v>
      </c>
      <c r="F88" s="20">
        <f>ROUND(9.62055,5)</f>
        <v>9.62055</v>
      </c>
      <c r="G88" s="19"/>
      <c r="H88" s="29"/>
    </row>
    <row r="89" spans="1:8" ht="12.75" customHeight="1">
      <c r="A89" s="31">
        <v>42950</v>
      </c>
      <c r="B89" s="31"/>
      <c r="C89" s="20">
        <f>ROUND(9.575,5)</f>
        <v>9.575</v>
      </c>
      <c r="D89" s="20">
        <f>F89</f>
        <v>9.67061</v>
      </c>
      <c r="E89" s="20">
        <f>F89</f>
        <v>9.67061</v>
      </c>
      <c r="F89" s="20">
        <f>ROUND(9.67061,5)</f>
        <v>9.67061</v>
      </c>
      <c r="G89" s="19"/>
      <c r="H89" s="29"/>
    </row>
    <row r="90" spans="1:8" ht="12.75" customHeight="1">
      <c r="A90" s="31">
        <v>43041</v>
      </c>
      <c r="B90" s="31"/>
      <c r="C90" s="20">
        <f>ROUND(9.575,5)</f>
        <v>9.575</v>
      </c>
      <c r="D90" s="20">
        <f>F90</f>
        <v>9.7099</v>
      </c>
      <c r="E90" s="20">
        <f>F90</f>
        <v>9.7099</v>
      </c>
      <c r="F90" s="20">
        <f>ROUND(9.7099,5)</f>
        <v>9.7099</v>
      </c>
      <c r="G90" s="19"/>
      <c r="H90" s="29"/>
    </row>
    <row r="91" spans="1:8" ht="12.75" customHeight="1">
      <c r="A91" s="31">
        <v>43132</v>
      </c>
      <c r="B91" s="31"/>
      <c r="C91" s="20">
        <f>ROUND(9.575,5)</f>
        <v>9.575</v>
      </c>
      <c r="D91" s="20">
        <f>F91</f>
        <v>9.75106</v>
      </c>
      <c r="E91" s="20">
        <f>F91</f>
        <v>9.75106</v>
      </c>
      <c r="F91" s="20">
        <f>ROUND(9.75106,5)</f>
        <v>9.75106</v>
      </c>
      <c r="G91" s="19"/>
      <c r="H91" s="29"/>
    </row>
    <row r="92" spans="1:8" ht="12.75" customHeight="1">
      <c r="A92" s="31">
        <v>43223</v>
      </c>
      <c r="B92" s="31"/>
      <c r="C92" s="20">
        <f>ROUND(9.575,5)</f>
        <v>9.575</v>
      </c>
      <c r="D92" s="20">
        <f>F92</f>
        <v>9.80636</v>
      </c>
      <c r="E92" s="20">
        <f>F92</f>
        <v>9.80636</v>
      </c>
      <c r="F92" s="20">
        <f>ROUND(9.80636,5)</f>
        <v>9.80636</v>
      </c>
      <c r="G92" s="19"/>
      <c r="H92" s="29"/>
    </row>
    <row r="93" spans="1:8" ht="12.75" customHeight="1">
      <c r="A93" s="31" t="s">
        <v>38</v>
      </c>
      <c r="B93" s="31"/>
      <c r="C93" s="21"/>
      <c r="D93" s="21"/>
      <c r="E93" s="21"/>
      <c r="F93" s="21"/>
      <c r="G93" s="19"/>
      <c r="H93" s="29"/>
    </row>
    <row r="94" spans="1:8" ht="12.75" customHeight="1">
      <c r="A94" s="31">
        <v>42859</v>
      </c>
      <c r="B94" s="31"/>
      <c r="C94" s="20">
        <f>ROUND(132.88637,5)</f>
        <v>132.88637</v>
      </c>
      <c r="D94" s="20">
        <f>F94</f>
        <v>133.71111</v>
      </c>
      <c r="E94" s="20">
        <f>F94</f>
        <v>133.71111</v>
      </c>
      <c r="F94" s="20">
        <f>ROUND(133.71111,5)</f>
        <v>133.71111</v>
      </c>
      <c r="G94" s="19"/>
      <c r="H94" s="29"/>
    </row>
    <row r="95" spans="1:8" ht="12.75" customHeight="1">
      <c r="A95" s="31">
        <v>42950</v>
      </c>
      <c r="B95" s="31"/>
      <c r="C95" s="20">
        <f>ROUND(132.88637,5)</f>
        <v>132.88637</v>
      </c>
      <c r="D95" s="20">
        <f>F95</f>
        <v>136.30419</v>
      </c>
      <c r="E95" s="20">
        <f>F95</f>
        <v>136.30419</v>
      </c>
      <c r="F95" s="20">
        <f>ROUND(136.30419,5)</f>
        <v>136.30419</v>
      </c>
      <c r="G95" s="19"/>
      <c r="H95" s="29"/>
    </row>
    <row r="96" spans="1:8" ht="12.75" customHeight="1">
      <c r="A96" s="31">
        <v>43041</v>
      </c>
      <c r="B96" s="31"/>
      <c r="C96" s="20">
        <f>ROUND(132.88637,5)</f>
        <v>132.88637</v>
      </c>
      <c r="D96" s="20">
        <f>F96</f>
        <v>137.43533</v>
      </c>
      <c r="E96" s="20">
        <f>F96</f>
        <v>137.43533</v>
      </c>
      <c r="F96" s="20">
        <f>ROUND(137.43533,5)</f>
        <v>137.43533</v>
      </c>
      <c r="G96" s="19"/>
      <c r="H96" s="29"/>
    </row>
    <row r="97" spans="1:8" ht="12.75" customHeight="1">
      <c r="A97" s="31">
        <v>43132</v>
      </c>
      <c r="B97" s="31"/>
      <c r="C97" s="20">
        <f>ROUND(132.88637,5)</f>
        <v>132.88637</v>
      </c>
      <c r="D97" s="20">
        <f>F97</f>
        <v>140.23075</v>
      </c>
      <c r="E97" s="20">
        <f>F97</f>
        <v>140.23075</v>
      </c>
      <c r="F97" s="20">
        <f>ROUND(140.23075,5)</f>
        <v>140.23075</v>
      </c>
      <c r="G97" s="19"/>
      <c r="H97" s="29"/>
    </row>
    <row r="98" spans="1:8" ht="12.75" customHeight="1">
      <c r="A98" s="31">
        <v>43223</v>
      </c>
      <c r="B98" s="31"/>
      <c r="C98" s="20">
        <f>ROUND(132.88637,5)</f>
        <v>132.88637</v>
      </c>
      <c r="D98" s="20">
        <f>F98</f>
        <v>142.87626</v>
      </c>
      <c r="E98" s="20">
        <f>F98</f>
        <v>142.87626</v>
      </c>
      <c r="F98" s="20">
        <f>ROUND(142.87626,5)</f>
        <v>142.87626</v>
      </c>
      <c r="G98" s="19"/>
      <c r="H98" s="29"/>
    </row>
    <row r="99" spans="1:8" ht="12.75" customHeight="1">
      <c r="A99" s="31" t="s">
        <v>39</v>
      </c>
      <c r="B99" s="31"/>
      <c r="C99" s="21"/>
      <c r="D99" s="21"/>
      <c r="E99" s="21"/>
      <c r="F99" s="21"/>
      <c r="G99" s="19"/>
      <c r="H99" s="29"/>
    </row>
    <row r="100" spans="1:8" ht="12.75" customHeight="1">
      <c r="A100" s="31">
        <v>42859</v>
      </c>
      <c r="B100" s="31"/>
      <c r="C100" s="20">
        <f>ROUND(2.04,5)</f>
        <v>2.04</v>
      </c>
      <c r="D100" s="20">
        <f>F100</f>
        <v>145.23535</v>
      </c>
      <c r="E100" s="20">
        <f>F100</f>
        <v>145.23535</v>
      </c>
      <c r="F100" s="20">
        <f>ROUND(145.23535,5)</f>
        <v>145.23535</v>
      </c>
      <c r="G100" s="19"/>
      <c r="H100" s="29"/>
    </row>
    <row r="101" spans="1:8" ht="12.75" customHeight="1">
      <c r="A101" s="31">
        <v>42950</v>
      </c>
      <c r="B101" s="31"/>
      <c r="C101" s="20">
        <f>ROUND(2.04,5)</f>
        <v>2.04</v>
      </c>
      <c r="D101" s="20">
        <f>F101</f>
        <v>146.37309</v>
      </c>
      <c r="E101" s="20">
        <f>F101</f>
        <v>146.37309</v>
      </c>
      <c r="F101" s="20">
        <f>ROUND(146.37309,5)</f>
        <v>146.37309</v>
      </c>
      <c r="G101" s="19"/>
      <c r="H101" s="29"/>
    </row>
    <row r="102" spans="1:8" ht="12.75" customHeight="1">
      <c r="A102" s="31">
        <v>43041</v>
      </c>
      <c r="B102" s="31"/>
      <c r="C102" s="20">
        <f>ROUND(2.04,5)</f>
        <v>2.04</v>
      </c>
      <c r="D102" s="20">
        <f>F102</f>
        <v>149.31028</v>
      </c>
      <c r="E102" s="20">
        <f>F102</f>
        <v>149.31028</v>
      </c>
      <c r="F102" s="20">
        <f>ROUND(149.31028,5)</f>
        <v>149.31028</v>
      </c>
      <c r="G102" s="19"/>
      <c r="H102" s="29"/>
    </row>
    <row r="103" spans="1:8" ht="12.75" customHeight="1">
      <c r="A103" s="31">
        <v>43132</v>
      </c>
      <c r="B103" s="31"/>
      <c r="C103" s="20">
        <f>ROUND(2.04,5)</f>
        <v>2.04</v>
      </c>
      <c r="D103" s="20">
        <f>F103</f>
        <v>150.63195</v>
      </c>
      <c r="E103" s="20">
        <f>F103</f>
        <v>150.63195</v>
      </c>
      <c r="F103" s="20">
        <f>ROUND(150.63195,5)</f>
        <v>150.63195</v>
      </c>
      <c r="G103" s="19"/>
      <c r="H103" s="29"/>
    </row>
    <row r="104" spans="1:8" ht="12.75" customHeight="1">
      <c r="A104" s="31">
        <v>43223</v>
      </c>
      <c r="B104" s="31"/>
      <c r="C104" s="20">
        <f>ROUND(2.04,5)</f>
        <v>2.04</v>
      </c>
      <c r="D104" s="20">
        <f>F104</f>
        <v>153.47241</v>
      </c>
      <c r="E104" s="20">
        <f>F104</f>
        <v>153.47241</v>
      </c>
      <c r="F104" s="20">
        <f>ROUND(153.47241,5)</f>
        <v>153.47241</v>
      </c>
      <c r="G104" s="19"/>
      <c r="H104" s="29"/>
    </row>
    <row r="105" spans="1:8" ht="12.75" customHeight="1">
      <c r="A105" s="31" t="s">
        <v>40</v>
      </c>
      <c r="B105" s="31"/>
      <c r="C105" s="21"/>
      <c r="D105" s="21"/>
      <c r="E105" s="21"/>
      <c r="F105" s="21"/>
      <c r="G105" s="19"/>
      <c r="H105" s="29"/>
    </row>
    <row r="106" spans="1:8" ht="12.75" customHeight="1">
      <c r="A106" s="31">
        <v>42859</v>
      </c>
      <c r="B106" s="31"/>
      <c r="C106" s="20">
        <f>ROUND(2.69,5)</f>
        <v>2.69</v>
      </c>
      <c r="D106" s="20">
        <f>F106</f>
        <v>130.03319</v>
      </c>
      <c r="E106" s="20">
        <f>F106</f>
        <v>130.03319</v>
      </c>
      <c r="F106" s="20">
        <f>ROUND(130.03319,5)</f>
        <v>130.03319</v>
      </c>
      <c r="G106" s="19"/>
      <c r="H106" s="29"/>
    </row>
    <row r="107" spans="1:8" ht="12.75" customHeight="1">
      <c r="A107" s="31">
        <v>42950</v>
      </c>
      <c r="B107" s="31"/>
      <c r="C107" s="20">
        <f>ROUND(2.69,5)</f>
        <v>2.69</v>
      </c>
      <c r="D107" s="20">
        <f>F107</f>
        <v>132.55478</v>
      </c>
      <c r="E107" s="20">
        <f>F107</f>
        <v>132.55478</v>
      </c>
      <c r="F107" s="20">
        <f>ROUND(132.55478,5)</f>
        <v>132.55478</v>
      </c>
      <c r="G107" s="19"/>
      <c r="H107" s="29"/>
    </row>
    <row r="108" spans="1:8" ht="12.75" customHeight="1">
      <c r="A108" s="31">
        <v>43041</v>
      </c>
      <c r="B108" s="31"/>
      <c r="C108" s="20">
        <f>ROUND(2.69,5)</f>
        <v>2.69</v>
      </c>
      <c r="D108" s="20">
        <f>F108</f>
        <v>133.44775</v>
      </c>
      <c r="E108" s="20">
        <f>F108</f>
        <v>133.44775</v>
      </c>
      <c r="F108" s="20">
        <f>ROUND(133.44775,5)</f>
        <v>133.44775</v>
      </c>
      <c r="G108" s="19"/>
      <c r="H108" s="29"/>
    </row>
    <row r="109" spans="1:8" ht="12.75" customHeight="1">
      <c r="A109" s="31">
        <v>43132</v>
      </c>
      <c r="B109" s="31"/>
      <c r="C109" s="20">
        <f>ROUND(2.69,5)</f>
        <v>2.69</v>
      </c>
      <c r="D109" s="20">
        <f>F109</f>
        <v>136.16219</v>
      </c>
      <c r="E109" s="20">
        <f>F109</f>
        <v>136.16219</v>
      </c>
      <c r="F109" s="20">
        <f>ROUND(136.16219,5)</f>
        <v>136.16219</v>
      </c>
      <c r="G109" s="19"/>
      <c r="H109" s="29"/>
    </row>
    <row r="110" spans="1:8" ht="12.75" customHeight="1">
      <c r="A110" s="31">
        <v>43223</v>
      </c>
      <c r="B110" s="31"/>
      <c r="C110" s="20">
        <f>ROUND(2.69,5)</f>
        <v>2.69</v>
      </c>
      <c r="D110" s="20">
        <f>F110</f>
        <v>138.73024</v>
      </c>
      <c r="E110" s="20">
        <f>F110</f>
        <v>138.73024</v>
      </c>
      <c r="F110" s="20">
        <f>ROUND(138.73024,5)</f>
        <v>138.73024</v>
      </c>
      <c r="G110" s="19"/>
      <c r="H110" s="29"/>
    </row>
    <row r="111" spans="1:8" ht="12.75" customHeight="1">
      <c r="A111" s="31" t="s">
        <v>41</v>
      </c>
      <c r="B111" s="31"/>
      <c r="C111" s="21"/>
      <c r="D111" s="21"/>
      <c r="E111" s="21"/>
      <c r="F111" s="21"/>
      <c r="G111" s="19"/>
      <c r="H111" s="29"/>
    </row>
    <row r="112" spans="1:8" ht="12.75" customHeight="1">
      <c r="A112" s="31">
        <v>42859</v>
      </c>
      <c r="B112" s="31"/>
      <c r="C112" s="20">
        <f>ROUND(10.435,5)</f>
        <v>10.435</v>
      </c>
      <c r="D112" s="20">
        <f>F112</f>
        <v>10.50914</v>
      </c>
      <c r="E112" s="20">
        <f>F112</f>
        <v>10.50914</v>
      </c>
      <c r="F112" s="20">
        <f>ROUND(10.50914,5)</f>
        <v>10.50914</v>
      </c>
      <c r="G112" s="19"/>
      <c r="H112" s="29"/>
    </row>
    <row r="113" spans="1:8" ht="12.75" customHeight="1">
      <c r="A113" s="31">
        <v>42950</v>
      </c>
      <c r="B113" s="31"/>
      <c r="C113" s="20">
        <f>ROUND(10.435,5)</f>
        <v>10.435</v>
      </c>
      <c r="D113" s="20">
        <f>F113</f>
        <v>10.58945</v>
      </c>
      <c r="E113" s="20">
        <f>F113</f>
        <v>10.58945</v>
      </c>
      <c r="F113" s="20">
        <f>ROUND(10.58945,5)</f>
        <v>10.58945</v>
      </c>
      <c r="G113" s="19"/>
      <c r="H113" s="29"/>
    </row>
    <row r="114" spans="1:8" ht="12.75" customHeight="1">
      <c r="A114" s="31">
        <v>43041</v>
      </c>
      <c r="B114" s="31"/>
      <c r="C114" s="20">
        <f>ROUND(10.435,5)</f>
        <v>10.435</v>
      </c>
      <c r="D114" s="20">
        <f>F114</f>
        <v>10.66674</v>
      </c>
      <c r="E114" s="20">
        <f>F114</f>
        <v>10.66674</v>
      </c>
      <c r="F114" s="20">
        <f>ROUND(10.66674,5)</f>
        <v>10.66674</v>
      </c>
      <c r="G114" s="19"/>
      <c r="H114" s="29"/>
    </row>
    <row r="115" spans="1:8" ht="12.75" customHeight="1">
      <c r="A115" s="31">
        <v>43132</v>
      </c>
      <c r="B115" s="31"/>
      <c r="C115" s="20">
        <f>ROUND(10.435,5)</f>
        <v>10.435</v>
      </c>
      <c r="D115" s="20">
        <f>F115</f>
        <v>10.74925</v>
      </c>
      <c r="E115" s="20">
        <f>F115</f>
        <v>10.74925</v>
      </c>
      <c r="F115" s="20">
        <f>ROUND(10.74925,5)</f>
        <v>10.74925</v>
      </c>
      <c r="G115" s="19"/>
      <c r="H115" s="29"/>
    </row>
    <row r="116" spans="1:8" ht="12.75" customHeight="1">
      <c r="A116" s="31">
        <v>43223</v>
      </c>
      <c r="B116" s="31"/>
      <c r="C116" s="20">
        <f>ROUND(10.435,5)</f>
        <v>10.435</v>
      </c>
      <c r="D116" s="20">
        <f>F116</f>
        <v>10.84314</v>
      </c>
      <c r="E116" s="20">
        <f>F116</f>
        <v>10.84314</v>
      </c>
      <c r="F116" s="20">
        <f>ROUND(10.84314,5)</f>
        <v>10.84314</v>
      </c>
      <c r="G116" s="19"/>
      <c r="H116" s="29"/>
    </row>
    <row r="117" spans="1:8" ht="12.75" customHeight="1">
      <c r="A117" s="31" t="s">
        <v>42</v>
      </c>
      <c r="B117" s="31"/>
      <c r="C117" s="21"/>
      <c r="D117" s="21"/>
      <c r="E117" s="21"/>
      <c r="F117" s="21"/>
      <c r="G117" s="19"/>
      <c r="H117" s="29"/>
    </row>
    <row r="118" spans="1:8" ht="12.75" customHeight="1">
      <c r="A118" s="31">
        <v>42859</v>
      </c>
      <c r="B118" s="31"/>
      <c r="C118" s="20">
        <f>ROUND(10.58,5)</f>
        <v>10.58</v>
      </c>
      <c r="D118" s="20">
        <f>F118</f>
        <v>10.65433</v>
      </c>
      <c r="E118" s="20">
        <f>F118</f>
        <v>10.65433</v>
      </c>
      <c r="F118" s="20">
        <f>ROUND(10.65433,5)</f>
        <v>10.65433</v>
      </c>
      <c r="G118" s="19"/>
      <c r="H118" s="29"/>
    </row>
    <row r="119" spans="1:8" ht="12.75" customHeight="1">
      <c r="A119" s="31">
        <v>42950</v>
      </c>
      <c r="B119" s="31"/>
      <c r="C119" s="20">
        <f>ROUND(10.58,5)</f>
        <v>10.58</v>
      </c>
      <c r="D119" s="20">
        <f>F119</f>
        <v>10.73324</v>
      </c>
      <c r="E119" s="20">
        <f>F119</f>
        <v>10.73324</v>
      </c>
      <c r="F119" s="20">
        <f>ROUND(10.73324,5)</f>
        <v>10.73324</v>
      </c>
      <c r="G119" s="19"/>
      <c r="H119" s="29"/>
    </row>
    <row r="120" spans="1:8" ht="12.75" customHeight="1">
      <c r="A120" s="31">
        <v>43041</v>
      </c>
      <c r="B120" s="31"/>
      <c r="C120" s="20">
        <f>ROUND(10.58,5)</f>
        <v>10.58</v>
      </c>
      <c r="D120" s="20">
        <f>F120</f>
        <v>10.80827</v>
      </c>
      <c r="E120" s="20">
        <f>F120</f>
        <v>10.80827</v>
      </c>
      <c r="F120" s="20">
        <f>ROUND(10.80827,5)</f>
        <v>10.80827</v>
      </c>
      <c r="G120" s="19"/>
      <c r="H120" s="29"/>
    </row>
    <row r="121" spans="1:8" ht="12.75" customHeight="1">
      <c r="A121" s="31">
        <v>43132</v>
      </c>
      <c r="B121" s="31"/>
      <c r="C121" s="20">
        <f>ROUND(10.58,5)</f>
        <v>10.58</v>
      </c>
      <c r="D121" s="20">
        <f>F121</f>
        <v>10.88549</v>
      </c>
      <c r="E121" s="20">
        <f>F121</f>
        <v>10.88549</v>
      </c>
      <c r="F121" s="20">
        <f>ROUND(10.88549,5)</f>
        <v>10.88549</v>
      </c>
      <c r="G121" s="19"/>
      <c r="H121" s="29"/>
    </row>
    <row r="122" spans="1:8" ht="12.75" customHeight="1">
      <c r="A122" s="31">
        <v>43223</v>
      </c>
      <c r="B122" s="31"/>
      <c r="C122" s="20">
        <f>ROUND(10.58,5)</f>
        <v>10.58</v>
      </c>
      <c r="D122" s="20">
        <f>F122</f>
        <v>10.97735</v>
      </c>
      <c r="E122" s="20">
        <f>F122</f>
        <v>10.97735</v>
      </c>
      <c r="F122" s="20">
        <f>ROUND(10.97735,5)</f>
        <v>10.97735</v>
      </c>
      <c r="G122" s="19"/>
      <c r="H122" s="29"/>
    </row>
    <row r="123" spans="1:8" ht="12.75" customHeight="1">
      <c r="A123" s="31" t="s">
        <v>43</v>
      </c>
      <c r="B123" s="31"/>
      <c r="C123" s="18"/>
      <c r="D123" s="18"/>
      <c r="E123" s="18"/>
      <c r="F123" s="18"/>
      <c r="G123" s="19"/>
      <c r="H123" s="29"/>
    </row>
    <row r="124" spans="1:8" ht="12.75" customHeight="1">
      <c r="A124" s="31">
        <v>42859</v>
      </c>
      <c r="B124" s="31"/>
      <c r="C124" s="20">
        <f>ROUND(8.385,5)</f>
        <v>8.385</v>
      </c>
      <c r="D124" s="20">
        <f>F124</f>
        <v>8.41642</v>
      </c>
      <c r="E124" s="20">
        <f>F124</f>
        <v>8.41642</v>
      </c>
      <c r="F124" s="20">
        <f>ROUND(8.41642,5)</f>
        <v>8.41642</v>
      </c>
      <c r="G124" s="19"/>
      <c r="H124" s="29"/>
    </row>
    <row r="125" spans="1:8" ht="12.75" customHeight="1">
      <c r="A125" s="31">
        <v>42950</v>
      </c>
      <c r="B125" s="31"/>
      <c r="C125" s="20">
        <f>ROUND(8.385,5)</f>
        <v>8.385</v>
      </c>
      <c r="D125" s="20">
        <f>F125</f>
        <v>8.44954</v>
      </c>
      <c r="E125" s="20">
        <f>F125</f>
        <v>8.44954</v>
      </c>
      <c r="F125" s="20">
        <f>ROUND(8.44954,5)</f>
        <v>8.44954</v>
      </c>
      <c r="G125" s="19"/>
      <c r="H125" s="29"/>
    </row>
    <row r="126" spans="1:8" ht="12.75" customHeight="1">
      <c r="A126" s="31">
        <v>43041</v>
      </c>
      <c r="B126" s="31"/>
      <c r="C126" s="20">
        <f>ROUND(8.385,5)</f>
        <v>8.385</v>
      </c>
      <c r="D126" s="20">
        <f>F126</f>
        <v>8.47462</v>
      </c>
      <c r="E126" s="20">
        <f>F126</f>
        <v>8.47462</v>
      </c>
      <c r="F126" s="20">
        <f>ROUND(8.47462,5)</f>
        <v>8.47462</v>
      </c>
      <c r="G126" s="19"/>
      <c r="H126" s="29"/>
    </row>
    <row r="127" spans="1:8" ht="12.75" customHeight="1">
      <c r="A127" s="31">
        <v>43132</v>
      </c>
      <c r="B127" s="31"/>
      <c r="C127" s="20">
        <f>ROUND(8.385,5)</f>
        <v>8.385</v>
      </c>
      <c r="D127" s="20">
        <f>F127</f>
        <v>8.50368</v>
      </c>
      <c r="E127" s="20">
        <f>F127</f>
        <v>8.50368</v>
      </c>
      <c r="F127" s="20">
        <f>ROUND(8.50368,5)</f>
        <v>8.50368</v>
      </c>
      <c r="G127" s="19"/>
      <c r="H127" s="29"/>
    </row>
    <row r="128" spans="1:8" ht="12.75" customHeight="1">
      <c r="A128" s="31">
        <v>43223</v>
      </c>
      <c r="B128" s="31"/>
      <c r="C128" s="20">
        <f>ROUND(8.385,5)</f>
        <v>8.385</v>
      </c>
      <c r="D128" s="20">
        <f>F128</f>
        <v>8.552</v>
      </c>
      <c r="E128" s="20">
        <f>F128</f>
        <v>8.552</v>
      </c>
      <c r="F128" s="20">
        <f>ROUND(8.552,5)</f>
        <v>8.552</v>
      </c>
      <c r="G128" s="19"/>
      <c r="H128" s="29"/>
    </row>
    <row r="129" spans="1:8" ht="12.75" customHeight="1">
      <c r="A129" s="31" t="s">
        <v>44</v>
      </c>
      <c r="B129" s="31"/>
      <c r="C129" s="18"/>
      <c r="D129" s="18"/>
      <c r="E129" s="18"/>
      <c r="F129" s="18"/>
      <c r="G129" s="19"/>
      <c r="H129" s="29"/>
    </row>
    <row r="130" spans="1:8" ht="12.75" customHeight="1">
      <c r="A130" s="31">
        <v>42859</v>
      </c>
      <c r="B130" s="31"/>
      <c r="C130" s="20">
        <f>ROUND(9.455,5)</f>
        <v>9.455</v>
      </c>
      <c r="D130" s="20">
        <f>F130</f>
        <v>9.49957</v>
      </c>
      <c r="E130" s="20">
        <f>F130</f>
        <v>9.49957</v>
      </c>
      <c r="F130" s="20">
        <f>ROUND(9.49957,5)</f>
        <v>9.49957</v>
      </c>
      <c r="G130" s="19"/>
      <c r="H130" s="29"/>
    </row>
    <row r="131" spans="1:8" ht="12.75" customHeight="1">
      <c r="A131" s="31">
        <v>42950</v>
      </c>
      <c r="B131" s="31"/>
      <c r="C131" s="20">
        <f>ROUND(9.455,5)</f>
        <v>9.455</v>
      </c>
      <c r="D131" s="20">
        <f>F131</f>
        <v>9.5479</v>
      </c>
      <c r="E131" s="20">
        <f>F131</f>
        <v>9.5479</v>
      </c>
      <c r="F131" s="20">
        <f>ROUND(9.5479,5)</f>
        <v>9.5479</v>
      </c>
      <c r="G131" s="19"/>
      <c r="H131" s="29"/>
    </row>
    <row r="132" spans="1:8" ht="12.75" customHeight="1">
      <c r="A132" s="31">
        <v>43041</v>
      </c>
      <c r="B132" s="31"/>
      <c r="C132" s="20">
        <f>ROUND(9.455,5)</f>
        <v>9.455</v>
      </c>
      <c r="D132" s="20">
        <f>F132</f>
        <v>9.59235</v>
      </c>
      <c r="E132" s="20">
        <f>F132</f>
        <v>9.59235</v>
      </c>
      <c r="F132" s="20">
        <f>ROUND(9.59235,5)</f>
        <v>9.59235</v>
      </c>
      <c r="G132" s="19"/>
      <c r="H132" s="29"/>
    </row>
    <row r="133" spans="1:8" ht="12.75" customHeight="1">
      <c r="A133" s="31">
        <v>43132</v>
      </c>
      <c r="B133" s="31"/>
      <c r="C133" s="20">
        <f>ROUND(9.455,5)</f>
        <v>9.455</v>
      </c>
      <c r="D133" s="20">
        <f>F133</f>
        <v>9.63973</v>
      </c>
      <c r="E133" s="20">
        <f>F133</f>
        <v>9.63973</v>
      </c>
      <c r="F133" s="20">
        <f>ROUND(9.63973,5)</f>
        <v>9.63973</v>
      </c>
      <c r="G133" s="19"/>
      <c r="H133" s="29"/>
    </row>
    <row r="134" spans="1:8" ht="12.75" customHeight="1">
      <c r="A134" s="31">
        <v>43223</v>
      </c>
      <c r="B134" s="31"/>
      <c r="C134" s="20">
        <f>ROUND(9.455,5)</f>
        <v>9.455</v>
      </c>
      <c r="D134" s="20">
        <f>F134</f>
        <v>9.69583</v>
      </c>
      <c r="E134" s="20">
        <f>F134</f>
        <v>9.69583</v>
      </c>
      <c r="F134" s="20">
        <f>ROUND(9.69583,5)</f>
        <v>9.69583</v>
      </c>
      <c r="G134" s="19"/>
      <c r="H134" s="29"/>
    </row>
    <row r="135" spans="1:8" ht="12.75" customHeight="1">
      <c r="A135" s="31" t="s">
        <v>45</v>
      </c>
      <c r="B135" s="31"/>
      <c r="C135" s="18"/>
      <c r="D135" s="18"/>
      <c r="E135" s="18"/>
      <c r="F135" s="18"/>
      <c r="G135" s="19"/>
      <c r="H135" s="29"/>
    </row>
    <row r="136" spans="1:8" ht="12.75" customHeight="1">
      <c r="A136" s="31">
        <v>42859</v>
      </c>
      <c r="B136" s="31"/>
      <c r="C136" s="20">
        <f>ROUND(8.785,5)</f>
        <v>8.785</v>
      </c>
      <c r="D136" s="20">
        <f>F136</f>
        <v>8.82593</v>
      </c>
      <c r="E136" s="20">
        <f>F136</f>
        <v>8.82593</v>
      </c>
      <c r="F136" s="20">
        <f>ROUND(8.82593,5)</f>
        <v>8.82593</v>
      </c>
      <c r="G136" s="19"/>
      <c r="H136" s="29"/>
    </row>
    <row r="137" spans="1:8" ht="12.75" customHeight="1">
      <c r="A137" s="31">
        <v>42950</v>
      </c>
      <c r="B137" s="31"/>
      <c r="C137" s="20">
        <f>ROUND(8.785,5)</f>
        <v>8.785</v>
      </c>
      <c r="D137" s="20">
        <f>F137</f>
        <v>8.86957</v>
      </c>
      <c r="E137" s="20">
        <f>F137</f>
        <v>8.86957</v>
      </c>
      <c r="F137" s="20">
        <f>ROUND(8.86957,5)</f>
        <v>8.86957</v>
      </c>
      <c r="G137" s="19"/>
      <c r="H137" s="29"/>
    </row>
    <row r="138" spans="1:8" ht="12.75" customHeight="1">
      <c r="A138" s="31">
        <v>43041</v>
      </c>
      <c r="B138" s="31"/>
      <c r="C138" s="20">
        <f>ROUND(8.785,5)</f>
        <v>8.785</v>
      </c>
      <c r="D138" s="20">
        <f>F138</f>
        <v>8.90258</v>
      </c>
      <c r="E138" s="20">
        <f>F138</f>
        <v>8.90258</v>
      </c>
      <c r="F138" s="20">
        <f>ROUND(8.90258,5)</f>
        <v>8.90258</v>
      </c>
      <c r="G138" s="19"/>
      <c r="H138" s="29"/>
    </row>
    <row r="139" spans="1:8" ht="12.75" customHeight="1">
      <c r="A139" s="31">
        <v>43132</v>
      </c>
      <c r="B139" s="31"/>
      <c r="C139" s="20">
        <f>ROUND(8.785,5)</f>
        <v>8.785</v>
      </c>
      <c r="D139" s="20">
        <f>F139</f>
        <v>8.93802</v>
      </c>
      <c r="E139" s="20">
        <f>F139</f>
        <v>8.93802</v>
      </c>
      <c r="F139" s="20">
        <f>ROUND(8.93802,5)</f>
        <v>8.93802</v>
      </c>
      <c r="G139" s="19"/>
      <c r="H139" s="29"/>
    </row>
    <row r="140" spans="1:8" ht="12.75" customHeight="1">
      <c r="A140" s="31">
        <v>43223</v>
      </c>
      <c r="B140" s="31"/>
      <c r="C140" s="20">
        <f>ROUND(8.785,5)</f>
        <v>8.785</v>
      </c>
      <c r="D140" s="20">
        <f>F140</f>
        <v>8.99281</v>
      </c>
      <c r="E140" s="20">
        <f>F140</f>
        <v>8.99281</v>
      </c>
      <c r="F140" s="20">
        <f>ROUND(8.99281,5)</f>
        <v>8.99281</v>
      </c>
      <c r="G140" s="19"/>
      <c r="H140" s="29"/>
    </row>
    <row r="141" spans="1:8" ht="12.75" customHeight="1">
      <c r="A141" s="31" t="s">
        <v>46</v>
      </c>
      <c r="B141" s="31"/>
      <c r="C141" s="18"/>
      <c r="D141" s="18"/>
      <c r="E141" s="18"/>
      <c r="F141" s="18"/>
      <c r="G141" s="19"/>
      <c r="H141" s="29"/>
    </row>
    <row r="142" spans="1:8" ht="12.75" customHeight="1">
      <c r="A142" s="31">
        <v>42859</v>
      </c>
      <c r="B142" s="31"/>
      <c r="C142" s="20">
        <f>ROUND(2.07,5)</f>
        <v>2.07</v>
      </c>
      <c r="D142" s="20">
        <f>F142</f>
        <v>301.61463</v>
      </c>
      <c r="E142" s="20">
        <f>F142</f>
        <v>301.61463</v>
      </c>
      <c r="F142" s="20">
        <f>ROUND(301.61463,5)</f>
        <v>301.61463</v>
      </c>
      <c r="G142" s="19"/>
      <c r="H142" s="29"/>
    </row>
    <row r="143" spans="1:8" ht="12.75" customHeight="1">
      <c r="A143" s="31">
        <v>42950</v>
      </c>
      <c r="B143" s="31"/>
      <c r="C143" s="20">
        <f>ROUND(2.07,5)</f>
        <v>2.07</v>
      </c>
      <c r="D143" s="20">
        <f>F143</f>
        <v>300.51048</v>
      </c>
      <c r="E143" s="20">
        <f>F143</f>
        <v>300.51048</v>
      </c>
      <c r="F143" s="20">
        <f>ROUND(300.51048,5)</f>
        <v>300.51048</v>
      </c>
      <c r="G143" s="19"/>
      <c r="H143" s="29"/>
    </row>
    <row r="144" spans="1:8" ht="12.75" customHeight="1">
      <c r="A144" s="31">
        <v>43041</v>
      </c>
      <c r="B144" s="31"/>
      <c r="C144" s="20">
        <f>ROUND(2.07,5)</f>
        <v>2.07</v>
      </c>
      <c r="D144" s="20">
        <f>F144</f>
        <v>306.54125</v>
      </c>
      <c r="E144" s="20">
        <f>F144</f>
        <v>306.54125</v>
      </c>
      <c r="F144" s="20">
        <f>ROUND(306.54125,5)</f>
        <v>306.54125</v>
      </c>
      <c r="G144" s="19"/>
      <c r="H144" s="29"/>
    </row>
    <row r="145" spans="1:8" ht="12.75" customHeight="1">
      <c r="A145" s="31">
        <v>43132</v>
      </c>
      <c r="B145" s="31"/>
      <c r="C145" s="20">
        <f>ROUND(2.07,5)</f>
        <v>2.07</v>
      </c>
      <c r="D145" s="20">
        <f>F145</f>
        <v>305.62494</v>
      </c>
      <c r="E145" s="20">
        <f>F145</f>
        <v>305.62494</v>
      </c>
      <c r="F145" s="20">
        <f>ROUND(305.62494,5)</f>
        <v>305.62494</v>
      </c>
      <c r="G145" s="19"/>
      <c r="H145" s="29"/>
    </row>
    <row r="146" spans="1:8" ht="12.75" customHeight="1">
      <c r="A146" s="31">
        <v>43223</v>
      </c>
      <c r="B146" s="31"/>
      <c r="C146" s="20">
        <f>ROUND(2.07,5)</f>
        <v>2.07</v>
      </c>
      <c r="D146" s="20">
        <f>F146</f>
        <v>311.38274</v>
      </c>
      <c r="E146" s="20">
        <f>F146</f>
        <v>311.38274</v>
      </c>
      <c r="F146" s="20">
        <f>ROUND(311.38274,5)</f>
        <v>311.38274</v>
      </c>
      <c r="G146" s="19"/>
      <c r="H146" s="29"/>
    </row>
    <row r="147" spans="1:8" ht="12.75" customHeight="1">
      <c r="A147" s="31" t="s">
        <v>47</v>
      </c>
      <c r="B147" s="31"/>
      <c r="C147" s="18"/>
      <c r="D147" s="18"/>
      <c r="E147" s="18"/>
      <c r="F147" s="18"/>
      <c r="G147" s="19"/>
      <c r="H147" s="29"/>
    </row>
    <row r="148" spans="1:8" ht="12.75" customHeight="1">
      <c r="A148" s="31">
        <v>42859</v>
      </c>
      <c r="B148" s="31"/>
      <c r="C148" s="20">
        <f>ROUND(2.07,5)</f>
        <v>2.07</v>
      </c>
      <c r="D148" s="20">
        <f>F148</f>
        <v>250.06191</v>
      </c>
      <c r="E148" s="20">
        <f>F148</f>
        <v>250.06191</v>
      </c>
      <c r="F148" s="20">
        <f>ROUND(250.06191,5)</f>
        <v>250.06191</v>
      </c>
      <c r="G148" s="19"/>
      <c r="H148" s="29"/>
    </row>
    <row r="149" spans="1:8" ht="12.75" customHeight="1">
      <c r="A149" s="31">
        <v>42950</v>
      </c>
      <c r="B149" s="31"/>
      <c r="C149" s="20">
        <f>ROUND(2.07,5)</f>
        <v>2.07</v>
      </c>
      <c r="D149" s="20">
        <f>F149</f>
        <v>251.21801</v>
      </c>
      <c r="E149" s="20">
        <f>F149</f>
        <v>251.21801</v>
      </c>
      <c r="F149" s="20">
        <f>ROUND(251.21801,5)</f>
        <v>251.21801</v>
      </c>
      <c r="G149" s="19"/>
      <c r="H149" s="29"/>
    </row>
    <row r="150" spans="1:8" ht="12.75" customHeight="1">
      <c r="A150" s="31">
        <v>43041</v>
      </c>
      <c r="B150" s="31"/>
      <c r="C150" s="20">
        <f>ROUND(2.07,5)</f>
        <v>2.07</v>
      </c>
      <c r="D150" s="20">
        <f>F150</f>
        <v>256.25951</v>
      </c>
      <c r="E150" s="20">
        <f>F150</f>
        <v>256.25951</v>
      </c>
      <c r="F150" s="20">
        <f>ROUND(256.25951,5)</f>
        <v>256.25951</v>
      </c>
      <c r="G150" s="19"/>
      <c r="H150" s="29"/>
    </row>
    <row r="151" spans="1:8" ht="12.75" customHeight="1">
      <c r="A151" s="31">
        <v>43132</v>
      </c>
      <c r="B151" s="31"/>
      <c r="C151" s="20">
        <f>ROUND(2.07,5)</f>
        <v>2.07</v>
      </c>
      <c r="D151" s="20">
        <f>F151</f>
        <v>257.67341</v>
      </c>
      <c r="E151" s="20">
        <f>F151</f>
        <v>257.67341</v>
      </c>
      <c r="F151" s="20">
        <f>ROUND(257.67341,5)</f>
        <v>257.67341</v>
      </c>
      <c r="G151" s="19"/>
      <c r="H151" s="29"/>
    </row>
    <row r="152" spans="1:8" ht="12.75" customHeight="1">
      <c r="A152" s="31">
        <v>43223</v>
      </c>
      <c r="B152" s="31"/>
      <c r="C152" s="20">
        <f>ROUND(2.07,5)</f>
        <v>2.07</v>
      </c>
      <c r="D152" s="20">
        <f>F152</f>
        <v>262.53152</v>
      </c>
      <c r="E152" s="20">
        <f>F152</f>
        <v>262.53152</v>
      </c>
      <c r="F152" s="20">
        <f>ROUND(262.53152,5)</f>
        <v>262.53152</v>
      </c>
      <c r="G152" s="19"/>
      <c r="H152" s="29"/>
    </row>
    <row r="153" spans="1:8" ht="12.75" customHeight="1">
      <c r="A153" s="31" t="s">
        <v>48</v>
      </c>
      <c r="B153" s="31"/>
      <c r="C153" s="18"/>
      <c r="D153" s="18"/>
      <c r="E153" s="18"/>
      <c r="F153" s="18"/>
      <c r="G153" s="19"/>
      <c r="H153" s="29"/>
    </row>
    <row r="154" spans="1:8" ht="12.75" customHeight="1">
      <c r="A154" s="31">
        <v>42859</v>
      </c>
      <c r="B154" s="31"/>
      <c r="C154" s="20">
        <f>ROUND(7.615,5)</f>
        <v>7.615</v>
      </c>
      <c r="D154" s="20">
        <f>F154</f>
        <v>7.44145</v>
      </c>
      <c r="E154" s="20">
        <f>F154</f>
        <v>7.44145</v>
      </c>
      <c r="F154" s="20">
        <f>ROUND(7.44145,5)</f>
        <v>7.44145</v>
      </c>
      <c r="G154" s="19"/>
      <c r="H154" s="29"/>
    </row>
    <row r="155" spans="1:8" ht="12.75" customHeight="1">
      <c r="A155" s="31">
        <v>42950</v>
      </c>
      <c r="B155" s="31"/>
      <c r="C155" s="20">
        <f>ROUND(7.615,5)</f>
        <v>7.615</v>
      </c>
      <c r="D155" s="20">
        <f>F155</f>
        <v>6.73666</v>
      </c>
      <c r="E155" s="20">
        <f>F155</f>
        <v>6.73666</v>
      </c>
      <c r="F155" s="20">
        <f>ROUND(6.73666,5)</f>
        <v>6.73666</v>
      </c>
      <c r="G155" s="19"/>
      <c r="H155" s="29"/>
    </row>
    <row r="156" spans="1:8" ht="12.75" customHeight="1">
      <c r="A156" s="31">
        <v>43041</v>
      </c>
      <c r="B156" s="31"/>
      <c r="C156" s="20">
        <f>ROUND(7.615,5)</f>
        <v>7.615</v>
      </c>
      <c r="D156" s="20">
        <f>F156</f>
        <v>1.03146</v>
      </c>
      <c r="E156" s="20">
        <f>F156</f>
        <v>1.03146</v>
      </c>
      <c r="F156" s="20">
        <f>ROUND(1.03146,5)</f>
        <v>1.03146</v>
      </c>
      <c r="G156" s="19"/>
      <c r="H156" s="29"/>
    </row>
    <row r="157" spans="1:8" ht="12.75" customHeight="1">
      <c r="A157" s="31" t="s">
        <v>49</v>
      </c>
      <c r="B157" s="31"/>
      <c r="C157" s="18"/>
      <c r="D157" s="18"/>
      <c r="E157" s="18"/>
      <c r="F157" s="18"/>
      <c r="G157" s="19"/>
      <c r="H157" s="29"/>
    </row>
    <row r="158" spans="1:8" ht="12.75" customHeight="1">
      <c r="A158" s="31">
        <v>42859</v>
      </c>
      <c r="B158" s="31"/>
      <c r="C158" s="20">
        <f>ROUND(7.705,5)</f>
        <v>7.705</v>
      </c>
      <c r="D158" s="20">
        <f>F158</f>
        <v>7.70852</v>
      </c>
      <c r="E158" s="20">
        <f>F158</f>
        <v>7.70852</v>
      </c>
      <c r="F158" s="20">
        <f>ROUND(7.70852,5)</f>
        <v>7.70852</v>
      </c>
      <c r="G158" s="19"/>
      <c r="H158" s="29"/>
    </row>
    <row r="159" spans="1:8" ht="12.75" customHeight="1">
      <c r="A159" s="31">
        <v>42950</v>
      </c>
      <c r="B159" s="31"/>
      <c r="C159" s="20">
        <f>ROUND(7.705,5)</f>
        <v>7.705</v>
      </c>
      <c r="D159" s="20">
        <f>F159</f>
        <v>7.69942</v>
      </c>
      <c r="E159" s="20">
        <f>F159</f>
        <v>7.69942</v>
      </c>
      <c r="F159" s="20">
        <f>ROUND(7.69942,5)</f>
        <v>7.69942</v>
      </c>
      <c r="G159" s="19"/>
      <c r="H159" s="29"/>
    </row>
    <row r="160" spans="1:8" ht="12.75" customHeight="1">
      <c r="A160" s="31">
        <v>43041</v>
      </c>
      <c r="B160" s="31"/>
      <c r="C160" s="20">
        <f>ROUND(7.705,5)</f>
        <v>7.705</v>
      </c>
      <c r="D160" s="20">
        <f>F160</f>
        <v>7.61252</v>
      </c>
      <c r="E160" s="20">
        <f>F160</f>
        <v>7.61252</v>
      </c>
      <c r="F160" s="20">
        <f>ROUND(7.61252,5)</f>
        <v>7.61252</v>
      </c>
      <c r="G160" s="19"/>
      <c r="H160" s="29"/>
    </row>
    <row r="161" spans="1:8" ht="12.75" customHeight="1">
      <c r="A161" s="31">
        <v>43132</v>
      </c>
      <c r="B161" s="31"/>
      <c r="C161" s="20">
        <f>ROUND(7.705,5)</f>
        <v>7.705</v>
      </c>
      <c r="D161" s="20">
        <f>F161</f>
        <v>7.47784</v>
      </c>
      <c r="E161" s="20">
        <f>F161</f>
        <v>7.47784</v>
      </c>
      <c r="F161" s="20">
        <f>ROUND(7.47784,5)</f>
        <v>7.47784</v>
      </c>
      <c r="G161" s="19"/>
      <c r="H161" s="29"/>
    </row>
    <row r="162" spans="1:8" ht="12.75" customHeight="1">
      <c r="A162" s="31">
        <v>43223</v>
      </c>
      <c r="B162" s="31"/>
      <c r="C162" s="20">
        <f>ROUND(7.705,5)</f>
        <v>7.705</v>
      </c>
      <c r="D162" s="20">
        <f>F162</f>
        <v>7.39529</v>
      </c>
      <c r="E162" s="20">
        <f>F162</f>
        <v>7.39529</v>
      </c>
      <c r="F162" s="20">
        <f>ROUND(7.39529,5)</f>
        <v>7.39529</v>
      </c>
      <c r="G162" s="19"/>
      <c r="H162" s="29"/>
    </row>
    <row r="163" spans="1:8" ht="12.75" customHeight="1">
      <c r="A163" s="31" t="s">
        <v>50</v>
      </c>
      <c r="B163" s="31"/>
      <c r="C163" s="18"/>
      <c r="D163" s="18"/>
      <c r="E163" s="18"/>
      <c r="F163" s="18"/>
      <c r="G163" s="19"/>
      <c r="H163" s="29"/>
    </row>
    <row r="164" spans="1:8" ht="12.75" customHeight="1">
      <c r="A164" s="31">
        <v>42859</v>
      </c>
      <c r="B164" s="31"/>
      <c r="C164" s="20">
        <f>ROUND(7.895,5)</f>
        <v>7.895</v>
      </c>
      <c r="D164" s="20">
        <f>F164</f>
        <v>7.91944</v>
      </c>
      <c r="E164" s="20">
        <f>F164</f>
        <v>7.91944</v>
      </c>
      <c r="F164" s="20">
        <f>ROUND(7.91944,5)</f>
        <v>7.91944</v>
      </c>
      <c r="G164" s="19"/>
      <c r="H164" s="29"/>
    </row>
    <row r="165" spans="1:8" ht="12.75" customHeight="1">
      <c r="A165" s="31">
        <v>42950</v>
      </c>
      <c r="B165" s="31"/>
      <c r="C165" s="20">
        <f>ROUND(7.895,5)</f>
        <v>7.895</v>
      </c>
      <c r="D165" s="20">
        <f>F165</f>
        <v>7.9417</v>
      </c>
      <c r="E165" s="20">
        <f>F165</f>
        <v>7.9417</v>
      </c>
      <c r="F165" s="20">
        <f>ROUND(7.9417,5)</f>
        <v>7.9417</v>
      </c>
      <c r="G165" s="19"/>
      <c r="H165" s="29"/>
    </row>
    <row r="166" spans="1:8" ht="12.75" customHeight="1">
      <c r="A166" s="31">
        <v>43041</v>
      </c>
      <c r="B166" s="31"/>
      <c r="C166" s="20">
        <f>ROUND(7.895,5)</f>
        <v>7.895</v>
      </c>
      <c r="D166" s="20">
        <f>F166</f>
        <v>7.92025</v>
      </c>
      <c r="E166" s="20">
        <f>F166</f>
        <v>7.92025</v>
      </c>
      <c r="F166" s="20">
        <f>ROUND(7.92025,5)</f>
        <v>7.92025</v>
      </c>
      <c r="G166" s="19"/>
      <c r="H166" s="29"/>
    </row>
    <row r="167" spans="1:8" ht="12.75" customHeight="1">
      <c r="A167" s="31">
        <v>43132</v>
      </c>
      <c r="B167" s="31"/>
      <c r="C167" s="20">
        <f>ROUND(7.895,5)</f>
        <v>7.895</v>
      </c>
      <c r="D167" s="20">
        <f>F167</f>
        <v>7.89513</v>
      </c>
      <c r="E167" s="20">
        <f>F167</f>
        <v>7.89513</v>
      </c>
      <c r="F167" s="20">
        <f>ROUND(7.89513,5)</f>
        <v>7.89513</v>
      </c>
      <c r="G167" s="19"/>
      <c r="H167" s="29"/>
    </row>
    <row r="168" spans="1:8" ht="12.75" customHeight="1">
      <c r="A168" s="31">
        <v>43223</v>
      </c>
      <c r="B168" s="31"/>
      <c r="C168" s="20">
        <f>ROUND(7.895,5)</f>
        <v>7.895</v>
      </c>
      <c r="D168" s="20">
        <f>F168</f>
        <v>7.93674</v>
      </c>
      <c r="E168" s="20">
        <f>F168</f>
        <v>7.93674</v>
      </c>
      <c r="F168" s="20">
        <f>ROUND(7.93674,5)</f>
        <v>7.93674</v>
      </c>
      <c r="G168" s="19"/>
      <c r="H168" s="29"/>
    </row>
    <row r="169" spans="1:8" ht="12.75" customHeight="1">
      <c r="A169" s="31" t="s">
        <v>51</v>
      </c>
      <c r="B169" s="31"/>
      <c r="C169" s="18"/>
      <c r="D169" s="18"/>
      <c r="E169" s="18"/>
      <c r="F169" s="18"/>
      <c r="G169" s="19"/>
      <c r="H169" s="29"/>
    </row>
    <row r="170" spans="1:8" ht="12.75" customHeight="1">
      <c r="A170" s="31">
        <v>42859</v>
      </c>
      <c r="B170" s="31"/>
      <c r="C170" s="20">
        <f>ROUND(8.07,5)</f>
        <v>8.07</v>
      </c>
      <c r="D170" s="20">
        <f>F170</f>
        <v>8.09509</v>
      </c>
      <c r="E170" s="20">
        <f>F170</f>
        <v>8.09509</v>
      </c>
      <c r="F170" s="20">
        <f>ROUND(8.09509,5)</f>
        <v>8.09509</v>
      </c>
      <c r="G170" s="19"/>
      <c r="H170" s="29"/>
    </row>
    <row r="171" spans="1:8" ht="12.75" customHeight="1">
      <c r="A171" s="31">
        <v>42950</v>
      </c>
      <c r="B171" s="31"/>
      <c r="C171" s="20">
        <f>ROUND(8.07,5)</f>
        <v>8.07</v>
      </c>
      <c r="D171" s="20">
        <f>F171</f>
        <v>8.11976</v>
      </c>
      <c r="E171" s="20">
        <f>F171</f>
        <v>8.11976</v>
      </c>
      <c r="F171" s="20">
        <f>ROUND(8.11976,5)</f>
        <v>8.11976</v>
      </c>
      <c r="G171" s="19"/>
      <c r="H171" s="29"/>
    </row>
    <row r="172" spans="1:8" ht="12.75" customHeight="1">
      <c r="A172" s="31">
        <v>43041</v>
      </c>
      <c r="B172" s="31"/>
      <c r="C172" s="20">
        <f>ROUND(8.07,5)</f>
        <v>8.07</v>
      </c>
      <c r="D172" s="20">
        <f>F172</f>
        <v>8.12539</v>
      </c>
      <c r="E172" s="20">
        <f>F172</f>
        <v>8.12539</v>
      </c>
      <c r="F172" s="20">
        <f>ROUND(8.12539,5)</f>
        <v>8.12539</v>
      </c>
      <c r="G172" s="19"/>
      <c r="H172" s="29"/>
    </row>
    <row r="173" spans="1:8" ht="12.75" customHeight="1">
      <c r="A173" s="31">
        <v>43132</v>
      </c>
      <c r="B173" s="31"/>
      <c r="C173" s="20">
        <f>ROUND(8.07,5)</f>
        <v>8.07</v>
      </c>
      <c r="D173" s="20">
        <f>F173</f>
        <v>8.13268</v>
      </c>
      <c r="E173" s="20">
        <f>F173</f>
        <v>8.13268</v>
      </c>
      <c r="F173" s="20">
        <f>ROUND(8.13268,5)</f>
        <v>8.13268</v>
      </c>
      <c r="G173" s="19"/>
      <c r="H173" s="29"/>
    </row>
    <row r="174" spans="1:8" ht="12.75" customHeight="1">
      <c r="A174" s="31">
        <v>43223</v>
      </c>
      <c r="B174" s="31"/>
      <c r="C174" s="20">
        <f>ROUND(8.07,5)</f>
        <v>8.07</v>
      </c>
      <c r="D174" s="20">
        <f>F174</f>
        <v>8.17449</v>
      </c>
      <c r="E174" s="20">
        <f>F174</f>
        <v>8.17449</v>
      </c>
      <c r="F174" s="20">
        <f>ROUND(8.17449,5)</f>
        <v>8.17449</v>
      </c>
      <c r="G174" s="19"/>
      <c r="H174" s="29"/>
    </row>
    <row r="175" spans="1:8" ht="12.75" customHeight="1">
      <c r="A175" s="31" t="s">
        <v>52</v>
      </c>
      <c r="B175" s="31"/>
      <c r="C175" s="18"/>
      <c r="D175" s="18"/>
      <c r="E175" s="18"/>
      <c r="F175" s="18"/>
      <c r="G175" s="19"/>
      <c r="H175" s="29"/>
    </row>
    <row r="176" spans="1:8" ht="12.75" customHeight="1">
      <c r="A176" s="31">
        <v>42859</v>
      </c>
      <c r="B176" s="31"/>
      <c r="C176" s="20">
        <f>ROUND(9.425,5)</f>
        <v>9.425</v>
      </c>
      <c r="D176" s="20">
        <f>F176</f>
        <v>9.46636</v>
      </c>
      <c r="E176" s="20">
        <f>F176</f>
        <v>9.46636</v>
      </c>
      <c r="F176" s="20">
        <f>ROUND(9.46636,5)</f>
        <v>9.46636</v>
      </c>
      <c r="G176" s="19"/>
      <c r="H176" s="29"/>
    </row>
    <row r="177" spans="1:8" ht="12.75" customHeight="1">
      <c r="A177" s="31">
        <v>42950</v>
      </c>
      <c r="B177" s="31"/>
      <c r="C177" s="20">
        <f>ROUND(9.425,5)</f>
        <v>9.425</v>
      </c>
      <c r="D177" s="20">
        <f>F177</f>
        <v>9.51032</v>
      </c>
      <c r="E177" s="20">
        <f>F177</f>
        <v>9.51032</v>
      </c>
      <c r="F177" s="20">
        <f>ROUND(9.51032,5)</f>
        <v>9.51032</v>
      </c>
      <c r="G177" s="19"/>
      <c r="H177" s="29"/>
    </row>
    <row r="178" spans="1:8" ht="12.75" customHeight="1">
      <c r="A178" s="31">
        <v>43041</v>
      </c>
      <c r="B178" s="31"/>
      <c r="C178" s="20">
        <f>ROUND(9.425,5)</f>
        <v>9.425</v>
      </c>
      <c r="D178" s="20">
        <f>F178</f>
        <v>9.54872</v>
      </c>
      <c r="E178" s="20">
        <f>F178</f>
        <v>9.54872</v>
      </c>
      <c r="F178" s="20">
        <f>ROUND(9.54872,5)</f>
        <v>9.54872</v>
      </c>
      <c r="G178" s="19"/>
      <c r="H178" s="29"/>
    </row>
    <row r="179" spans="1:8" ht="12.75" customHeight="1">
      <c r="A179" s="31">
        <v>43132</v>
      </c>
      <c r="B179" s="31"/>
      <c r="C179" s="20">
        <f>ROUND(9.425,5)</f>
        <v>9.425</v>
      </c>
      <c r="D179" s="20">
        <f>F179</f>
        <v>9.58862</v>
      </c>
      <c r="E179" s="20">
        <f>F179</f>
        <v>9.58862</v>
      </c>
      <c r="F179" s="20">
        <f>ROUND(9.58862,5)</f>
        <v>9.58862</v>
      </c>
      <c r="G179" s="19"/>
      <c r="H179" s="29"/>
    </row>
    <row r="180" spans="1:8" ht="12.75" customHeight="1">
      <c r="A180" s="31">
        <v>43223</v>
      </c>
      <c r="B180" s="31"/>
      <c r="C180" s="20">
        <f>ROUND(9.425,5)</f>
        <v>9.425</v>
      </c>
      <c r="D180" s="20">
        <f>F180</f>
        <v>9.63934</v>
      </c>
      <c r="E180" s="20">
        <f>F180</f>
        <v>9.63934</v>
      </c>
      <c r="F180" s="20">
        <f>ROUND(9.63934,5)</f>
        <v>9.63934</v>
      </c>
      <c r="G180" s="19"/>
      <c r="H180" s="29"/>
    </row>
    <row r="181" spans="1:8" ht="12.75" customHeight="1">
      <c r="A181" s="31" t="s">
        <v>53</v>
      </c>
      <c r="B181" s="31"/>
      <c r="C181" s="18"/>
      <c r="D181" s="18"/>
      <c r="E181" s="18"/>
      <c r="F181" s="18"/>
      <c r="G181" s="19"/>
      <c r="H181" s="29"/>
    </row>
    <row r="182" spans="1:8" ht="12.75" customHeight="1">
      <c r="A182" s="31">
        <v>42859</v>
      </c>
      <c r="B182" s="31"/>
      <c r="C182" s="20">
        <f>ROUND(2.02,5)</f>
        <v>2.02</v>
      </c>
      <c r="D182" s="20">
        <f>F182</f>
        <v>188.81212</v>
      </c>
      <c r="E182" s="20">
        <f>F182</f>
        <v>188.81212</v>
      </c>
      <c r="F182" s="20">
        <f>ROUND(188.81212,5)</f>
        <v>188.81212</v>
      </c>
      <c r="G182" s="19"/>
      <c r="H182" s="29"/>
    </row>
    <row r="183" spans="1:8" ht="12.75" customHeight="1">
      <c r="A183" s="31">
        <v>42950</v>
      </c>
      <c r="B183" s="31"/>
      <c r="C183" s="20">
        <f>ROUND(2.02,5)</f>
        <v>2.02</v>
      </c>
      <c r="D183" s="20">
        <f>F183</f>
        <v>192.47376</v>
      </c>
      <c r="E183" s="20">
        <f>F183</f>
        <v>192.47376</v>
      </c>
      <c r="F183" s="20">
        <f>ROUND(192.47376,5)</f>
        <v>192.47376</v>
      </c>
      <c r="G183" s="19"/>
      <c r="H183" s="29"/>
    </row>
    <row r="184" spans="1:8" ht="12.75" customHeight="1">
      <c r="A184" s="31">
        <v>43041</v>
      </c>
      <c r="B184" s="31"/>
      <c r="C184" s="20">
        <f>ROUND(2.02,5)</f>
        <v>2.02</v>
      </c>
      <c r="D184" s="20">
        <f>F184</f>
        <v>193.90431</v>
      </c>
      <c r="E184" s="20">
        <f>F184</f>
        <v>193.90431</v>
      </c>
      <c r="F184" s="20">
        <f>ROUND(193.90431,5)</f>
        <v>193.90431</v>
      </c>
      <c r="G184" s="19"/>
      <c r="H184" s="29"/>
    </row>
    <row r="185" spans="1:8" ht="12.75" customHeight="1">
      <c r="A185" s="31">
        <v>43132</v>
      </c>
      <c r="B185" s="31"/>
      <c r="C185" s="20">
        <f>ROUND(2.02,5)</f>
        <v>2.02</v>
      </c>
      <c r="D185" s="20">
        <f>F185</f>
        <v>197.8484</v>
      </c>
      <c r="E185" s="20">
        <f>F185</f>
        <v>197.8484</v>
      </c>
      <c r="F185" s="20">
        <f>ROUND(197.8484,5)</f>
        <v>197.8484</v>
      </c>
      <c r="G185" s="19"/>
      <c r="H185" s="29"/>
    </row>
    <row r="186" spans="1:8" ht="12.75" customHeight="1">
      <c r="A186" s="31">
        <v>43223</v>
      </c>
      <c r="B186" s="31"/>
      <c r="C186" s="20">
        <f>ROUND(2.02,5)</f>
        <v>2.02</v>
      </c>
      <c r="D186" s="20">
        <f>F186</f>
        <v>201.5807</v>
      </c>
      <c r="E186" s="20">
        <f>F186</f>
        <v>201.5807</v>
      </c>
      <c r="F186" s="20">
        <f>ROUND(201.5807,5)</f>
        <v>201.5807</v>
      </c>
      <c r="G186" s="19"/>
      <c r="H186" s="29"/>
    </row>
    <row r="187" spans="1:8" ht="12.75" customHeight="1">
      <c r="A187" s="31" t="s">
        <v>54</v>
      </c>
      <c r="B187" s="31"/>
      <c r="C187" s="18"/>
      <c r="D187" s="18"/>
      <c r="E187" s="18"/>
      <c r="F187" s="18"/>
      <c r="G187" s="19"/>
      <c r="H187" s="29"/>
    </row>
    <row r="188" spans="1:8" ht="12.75" customHeight="1">
      <c r="A188" s="31">
        <v>42859</v>
      </c>
      <c r="B188" s="31"/>
      <c r="C188" s="20">
        <f>ROUND(0,5)</f>
        <v>0</v>
      </c>
      <c r="D188" s="20">
        <f>F188</f>
        <v>141.66256</v>
      </c>
      <c r="E188" s="20">
        <f>F188</f>
        <v>141.66256</v>
      </c>
      <c r="F188" s="20">
        <f>ROUND(141.66256,5)</f>
        <v>141.66256</v>
      </c>
      <c r="G188" s="19"/>
      <c r="H188" s="29"/>
    </row>
    <row r="189" spans="1:8" ht="12.75" customHeight="1">
      <c r="A189" s="31">
        <v>42950</v>
      </c>
      <c r="B189" s="31"/>
      <c r="C189" s="20">
        <f>ROUND(0,5)</f>
        <v>0</v>
      </c>
      <c r="D189" s="20">
        <f>F189</f>
        <v>141.66256</v>
      </c>
      <c r="E189" s="20">
        <f>F189</f>
        <v>141.66256</v>
      </c>
      <c r="F189" s="20">
        <f>ROUND(141.66256,5)</f>
        <v>141.66256</v>
      </c>
      <c r="G189" s="19"/>
      <c r="H189" s="29"/>
    </row>
    <row r="190" spans="1:8" ht="12.75" customHeight="1">
      <c r="A190" s="31">
        <v>43041</v>
      </c>
      <c r="B190" s="31"/>
      <c r="C190" s="20">
        <f>ROUND(0,5)</f>
        <v>0</v>
      </c>
      <c r="D190" s="20">
        <f>F190</f>
        <v>141.66256</v>
      </c>
      <c r="E190" s="20">
        <f>F190</f>
        <v>141.66256</v>
      </c>
      <c r="F190" s="20">
        <f>ROUND(141.66256,5)</f>
        <v>141.66256</v>
      </c>
      <c r="G190" s="19"/>
      <c r="H190" s="29"/>
    </row>
    <row r="191" spans="1:8" ht="12.75" customHeight="1">
      <c r="A191" s="31" t="s">
        <v>55</v>
      </c>
      <c r="B191" s="31"/>
      <c r="C191" s="18"/>
      <c r="D191" s="18"/>
      <c r="E191" s="18"/>
      <c r="F191" s="18"/>
      <c r="G191" s="19"/>
      <c r="H191" s="29"/>
    </row>
    <row r="192" spans="1:8" ht="12.75" customHeight="1">
      <c r="A192" s="31">
        <v>42859</v>
      </c>
      <c r="B192" s="31"/>
      <c r="C192" s="20">
        <f>ROUND(2.06,5)</f>
        <v>2.06</v>
      </c>
      <c r="D192" s="20">
        <f>F192</f>
        <v>149.27737</v>
      </c>
      <c r="E192" s="20">
        <f>F192</f>
        <v>149.27737</v>
      </c>
      <c r="F192" s="20">
        <f>ROUND(149.27737,5)</f>
        <v>149.27737</v>
      </c>
      <c r="G192" s="19"/>
      <c r="H192" s="29"/>
    </row>
    <row r="193" spans="1:8" ht="12.75" customHeight="1">
      <c r="A193" s="31">
        <v>42950</v>
      </c>
      <c r="B193" s="31"/>
      <c r="C193" s="20">
        <f>ROUND(2.06,5)</f>
        <v>2.06</v>
      </c>
      <c r="D193" s="20">
        <f>F193</f>
        <v>150.12239</v>
      </c>
      <c r="E193" s="20">
        <f>F193</f>
        <v>150.12239</v>
      </c>
      <c r="F193" s="20">
        <f>ROUND(150.12239,5)</f>
        <v>150.12239</v>
      </c>
      <c r="G193" s="19"/>
      <c r="H193" s="29"/>
    </row>
    <row r="194" spans="1:8" ht="12.75" customHeight="1">
      <c r="A194" s="31">
        <v>43041</v>
      </c>
      <c r="B194" s="31"/>
      <c r="C194" s="20">
        <f>ROUND(2.06,5)</f>
        <v>2.06</v>
      </c>
      <c r="D194" s="20">
        <f>F194</f>
        <v>153.13516</v>
      </c>
      <c r="E194" s="20">
        <f>F194</f>
        <v>153.13516</v>
      </c>
      <c r="F194" s="20">
        <f>ROUND(153.13516,5)</f>
        <v>153.13516</v>
      </c>
      <c r="G194" s="19"/>
      <c r="H194" s="29"/>
    </row>
    <row r="195" spans="1:8" ht="12.75" customHeight="1">
      <c r="A195" s="31">
        <v>43132</v>
      </c>
      <c r="B195" s="31"/>
      <c r="C195" s="20">
        <f>ROUND(2.06,5)</f>
        <v>2.06</v>
      </c>
      <c r="D195" s="20">
        <f>F195</f>
        <v>156.18295</v>
      </c>
      <c r="E195" s="20">
        <f>F195</f>
        <v>156.18295</v>
      </c>
      <c r="F195" s="20">
        <f>ROUND(156.18295,5)</f>
        <v>156.18295</v>
      </c>
      <c r="G195" s="19"/>
      <c r="H195" s="29"/>
    </row>
    <row r="196" spans="1:8" ht="12.75" customHeight="1">
      <c r="A196" s="31">
        <v>43223</v>
      </c>
      <c r="B196" s="31"/>
      <c r="C196" s="20">
        <f>ROUND(2.06,5)</f>
        <v>2.06</v>
      </c>
      <c r="D196" s="20">
        <f>F196</f>
        <v>159.12988</v>
      </c>
      <c r="E196" s="20">
        <f>F196</f>
        <v>159.12988</v>
      </c>
      <c r="F196" s="20">
        <f>ROUND(159.12988,5)</f>
        <v>159.12988</v>
      </c>
      <c r="G196" s="19"/>
      <c r="H196" s="29"/>
    </row>
    <row r="197" spans="1:8" ht="12.75" customHeight="1">
      <c r="A197" s="31" t="s">
        <v>56</v>
      </c>
      <c r="B197" s="31"/>
      <c r="C197" s="18"/>
      <c r="D197" s="18"/>
      <c r="E197" s="18"/>
      <c r="F197" s="18"/>
      <c r="G197" s="19"/>
      <c r="H197" s="29"/>
    </row>
    <row r="198" spans="1:8" ht="12.75" customHeight="1">
      <c r="A198" s="31">
        <v>42859</v>
      </c>
      <c r="B198" s="31"/>
      <c r="C198" s="20">
        <f>ROUND(9.205,5)</f>
        <v>9.205</v>
      </c>
      <c r="D198" s="20">
        <f>F198</f>
        <v>9.24509</v>
      </c>
      <c r="E198" s="20">
        <f>F198</f>
        <v>9.24509</v>
      </c>
      <c r="F198" s="20">
        <f>ROUND(9.24509,5)</f>
        <v>9.24509</v>
      </c>
      <c r="G198" s="19"/>
      <c r="H198" s="29"/>
    </row>
    <row r="199" spans="1:8" ht="12.75" customHeight="1">
      <c r="A199" s="31">
        <v>42950</v>
      </c>
      <c r="B199" s="31"/>
      <c r="C199" s="20">
        <f>ROUND(9.205,5)</f>
        <v>9.205</v>
      </c>
      <c r="D199" s="20">
        <f>F199</f>
        <v>9.28834</v>
      </c>
      <c r="E199" s="20">
        <f>F199</f>
        <v>9.28834</v>
      </c>
      <c r="F199" s="20">
        <f>ROUND(9.28834,5)</f>
        <v>9.28834</v>
      </c>
      <c r="G199" s="19"/>
      <c r="H199" s="29"/>
    </row>
    <row r="200" spans="1:8" ht="12.75" customHeight="1">
      <c r="A200" s="31">
        <v>43041</v>
      </c>
      <c r="B200" s="31"/>
      <c r="C200" s="20">
        <f>ROUND(9.205,5)</f>
        <v>9.205</v>
      </c>
      <c r="D200" s="20">
        <f>F200</f>
        <v>9.32747</v>
      </c>
      <c r="E200" s="20">
        <f>F200</f>
        <v>9.32747</v>
      </c>
      <c r="F200" s="20">
        <f>ROUND(9.32747,5)</f>
        <v>9.32747</v>
      </c>
      <c r="G200" s="19"/>
      <c r="H200" s="29"/>
    </row>
    <row r="201" spans="1:8" ht="12.75" customHeight="1">
      <c r="A201" s="31">
        <v>43132</v>
      </c>
      <c r="B201" s="31"/>
      <c r="C201" s="20">
        <f>ROUND(9.205,5)</f>
        <v>9.205</v>
      </c>
      <c r="D201" s="20">
        <f>F201</f>
        <v>9.36942</v>
      </c>
      <c r="E201" s="20">
        <f>F201</f>
        <v>9.36942</v>
      </c>
      <c r="F201" s="20">
        <f>ROUND(9.36942,5)</f>
        <v>9.36942</v>
      </c>
      <c r="G201" s="19"/>
      <c r="H201" s="29"/>
    </row>
    <row r="202" spans="1:8" ht="12.75" customHeight="1">
      <c r="A202" s="31">
        <v>43223</v>
      </c>
      <c r="B202" s="31"/>
      <c r="C202" s="20">
        <f>ROUND(9.205,5)</f>
        <v>9.205</v>
      </c>
      <c r="D202" s="20">
        <f>F202</f>
        <v>9.42073</v>
      </c>
      <c r="E202" s="20">
        <f>F202</f>
        <v>9.42073</v>
      </c>
      <c r="F202" s="20">
        <f>ROUND(9.42073,5)</f>
        <v>9.42073</v>
      </c>
      <c r="G202" s="19"/>
      <c r="H202" s="29"/>
    </row>
    <row r="203" spans="1:8" ht="12.75" customHeight="1">
      <c r="A203" s="31" t="s">
        <v>57</v>
      </c>
      <c r="B203" s="31"/>
      <c r="C203" s="18"/>
      <c r="D203" s="18"/>
      <c r="E203" s="18"/>
      <c r="F203" s="18"/>
      <c r="G203" s="19"/>
      <c r="H203" s="29"/>
    </row>
    <row r="204" spans="1:8" ht="12.75" customHeight="1">
      <c r="A204" s="31">
        <v>42859</v>
      </c>
      <c r="B204" s="31"/>
      <c r="C204" s="20">
        <f>ROUND(9.505,5)</f>
        <v>9.505</v>
      </c>
      <c r="D204" s="20">
        <f>F204</f>
        <v>9.54457</v>
      </c>
      <c r="E204" s="20">
        <f>F204</f>
        <v>9.54457</v>
      </c>
      <c r="F204" s="20">
        <f>ROUND(9.54457,5)</f>
        <v>9.54457</v>
      </c>
      <c r="G204" s="19"/>
      <c r="H204" s="29"/>
    </row>
    <row r="205" spans="1:8" ht="12.75" customHeight="1">
      <c r="A205" s="31">
        <v>42950</v>
      </c>
      <c r="B205" s="31"/>
      <c r="C205" s="20">
        <f>ROUND(9.505,5)</f>
        <v>9.505</v>
      </c>
      <c r="D205" s="20">
        <f>F205</f>
        <v>9.58723</v>
      </c>
      <c r="E205" s="20">
        <f>F205</f>
        <v>9.58723</v>
      </c>
      <c r="F205" s="20">
        <f>ROUND(9.58723,5)</f>
        <v>9.58723</v>
      </c>
      <c r="G205" s="19"/>
      <c r="H205" s="29"/>
    </row>
    <row r="206" spans="1:8" ht="12.75" customHeight="1">
      <c r="A206" s="31">
        <v>43041</v>
      </c>
      <c r="B206" s="31"/>
      <c r="C206" s="20">
        <f>ROUND(9.505,5)</f>
        <v>9.505</v>
      </c>
      <c r="D206" s="20">
        <f>F206</f>
        <v>9.62635</v>
      </c>
      <c r="E206" s="20">
        <f>F206</f>
        <v>9.62635</v>
      </c>
      <c r="F206" s="20">
        <f>ROUND(9.62635,5)</f>
        <v>9.62635</v>
      </c>
      <c r="G206" s="19"/>
      <c r="H206" s="29"/>
    </row>
    <row r="207" spans="1:8" ht="12.75" customHeight="1">
      <c r="A207" s="31">
        <v>43132</v>
      </c>
      <c r="B207" s="31"/>
      <c r="C207" s="20">
        <f>ROUND(9.505,5)</f>
        <v>9.505</v>
      </c>
      <c r="D207" s="20">
        <f>F207</f>
        <v>9.66771</v>
      </c>
      <c r="E207" s="20">
        <f>F207</f>
        <v>9.66771</v>
      </c>
      <c r="F207" s="20">
        <f>ROUND(9.66771,5)</f>
        <v>9.66771</v>
      </c>
      <c r="G207" s="19"/>
      <c r="H207" s="29"/>
    </row>
    <row r="208" spans="1:8" ht="12.75" customHeight="1">
      <c r="A208" s="31">
        <v>43223</v>
      </c>
      <c r="B208" s="31"/>
      <c r="C208" s="20">
        <f>ROUND(9.505,5)</f>
        <v>9.505</v>
      </c>
      <c r="D208" s="20">
        <f>F208</f>
        <v>9.71622</v>
      </c>
      <c r="E208" s="20">
        <f>F208</f>
        <v>9.71622</v>
      </c>
      <c r="F208" s="20">
        <f>ROUND(9.71622,5)</f>
        <v>9.71622</v>
      </c>
      <c r="G208" s="19"/>
      <c r="H208" s="29"/>
    </row>
    <row r="209" spans="1:8" ht="12.75" customHeight="1">
      <c r="A209" s="31" t="s">
        <v>58</v>
      </c>
      <c r="B209" s="31"/>
      <c r="C209" s="18"/>
      <c r="D209" s="18"/>
      <c r="E209" s="18"/>
      <c r="F209" s="18"/>
      <c r="G209" s="19"/>
      <c r="H209" s="29"/>
    </row>
    <row r="210" spans="1:8" ht="12.75" customHeight="1">
      <c r="A210" s="31">
        <v>42859</v>
      </c>
      <c r="B210" s="31"/>
      <c r="C210" s="20">
        <f>ROUND(9.57,5)</f>
        <v>9.57</v>
      </c>
      <c r="D210" s="20">
        <f>F210</f>
        <v>9.61128</v>
      </c>
      <c r="E210" s="20">
        <f>F210</f>
        <v>9.61128</v>
      </c>
      <c r="F210" s="20">
        <f>ROUND(9.61128,5)</f>
        <v>9.61128</v>
      </c>
      <c r="G210" s="19"/>
      <c r="H210" s="29"/>
    </row>
    <row r="211" spans="1:8" ht="12.75" customHeight="1">
      <c r="A211" s="31">
        <v>42950</v>
      </c>
      <c r="B211" s="31"/>
      <c r="C211" s="20">
        <f>ROUND(9.57,5)</f>
        <v>9.57</v>
      </c>
      <c r="D211" s="20">
        <f>F211</f>
        <v>9.65589</v>
      </c>
      <c r="E211" s="20">
        <f>F211</f>
        <v>9.65589</v>
      </c>
      <c r="F211" s="20">
        <f>ROUND(9.65589,5)</f>
        <v>9.65589</v>
      </c>
      <c r="G211" s="19"/>
      <c r="H211" s="29"/>
    </row>
    <row r="212" spans="1:8" ht="12.75" customHeight="1">
      <c r="A212" s="31">
        <v>43041</v>
      </c>
      <c r="B212" s="31"/>
      <c r="C212" s="20">
        <f>ROUND(9.57,5)</f>
        <v>9.57</v>
      </c>
      <c r="D212" s="20">
        <f>F212</f>
        <v>9.69694</v>
      </c>
      <c r="E212" s="20">
        <f>F212</f>
        <v>9.69694</v>
      </c>
      <c r="F212" s="20">
        <f>ROUND(9.69694,5)</f>
        <v>9.69694</v>
      </c>
      <c r="G212" s="19"/>
      <c r="H212" s="29"/>
    </row>
    <row r="213" spans="1:8" ht="12.75" customHeight="1">
      <c r="A213" s="31">
        <v>43132</v>
      </c>
      <c r="B213" s="31"/>
      <c r="C213" s="20">
        <f>ROUND(9.57,5)</f>
        <v>9.57</v>
      </c>
      <c r="D213" s="20">
        <f>F213</f>
        <v>9.74036</v>
      </c>
      <c r="E213" s="20">
        <f>F213</f>
        <v>9.74036</v>
      </c>
      <c r="F213" s="20">
        <f>ROUND(9.74036,5)</f>
        <v>9.74036</v>
      </c>
      <c r="G213" s="19"/>
      <c r="H213" s="29"/>
    </row>
    <row r="214" spans="1:8" ht="12.75" customHeight="1">
      <c r="A214" s="31">
        <v>43223</v>
      </c>
      <c r="B214" s="31"/>
      <c r="C214" s="20">
        <f>ROUND(9.57,5)</f>
        <v>9.57</v>
      </c>
      <c r="D214" s="20">
        <f>F214</f>
        <v>9.79098</v>
      </c>
      <c r="E214" s="20">
        <f>F214</f>
        <v>9.79098</v>
      </c>
      <c r="F214" s="20">
        <f>ROUND(9.79098,5)</f>
        <v>9.79098</v>
      </c>
      <c r="G214" s="19"/>
      <c r="H214" s="29"/>
    </row>
    <row r="215" spans="1:8" ht="12.75" customHeight="1">
      <c r="A215" s="31" t="s">
        <v>59</v>
      </c>
      <c r="B215" s="31"/>
      <c r="C215" s="18"/>
      <c r="D215" s="18"/>
      <c r="E215" s="18"/>
      <c r="F215" s="18"/>
      <c r="G215" s="19"/>
      <c r="H215" s="29"/>
    </row>
    <row r="216" spans="1:8" ht="12.75" customHeight="1">
      <c r="A216" s="31">
        <v>42776</v>
      </c>
      <c r="B216" s="31"/>
      <c r="C216" s="21">
        <f>ROUND(269.286416521886,4)</f>
        <v>269.2864</v>
      </c>
      <c r="D216" s="21">
        <f>F216</f>
        <v>279.0419</v>
      </c>
      <c r="E216" s="21">
        <f>F216</f>
        <v>279.0419</v>
      </c>
      <c r="F216" s="21">
        <f>ROUND(279.0419,4)</f>
        <v>279.0419</v>
      </c>
      <c r="G216" s="19"/>
      <c r="H216" s="29"/>
    </row>
    <row r="217" spans="1:8" ht="12.75" customHeight="1">
      <c r="A217" s="31" t="s">
        <v>60</v>
      </c>
      <c r="B217" s="31"/>
      <c r="C217" s="18"/>
      <c r="D217" s="18"/>
      <c r="E217" s="18"/>
      <c r="F217" s="18"/>
      <c r="G217" s="19"/>
      <c r="H217" s="29"/>
    </row>
    <row r="218" spans="1:8" ht="12.75" customHeight="1">
      <c r="A218" s="31">
        <v>42857</v>
      </c>
      <c r="B218" s="31"/>
      <c r="C218" s="21">
        <f>ROUND(1.96763881590471,4)</f>
        <v>1.9676</v>
      </c>
      <c r="D218" s="21">
        <f>F218</f>
        <v>1.9691</v>
      </c>
      <c r="E218" s="21">
        <f>F218</f>
        <v>1.9691</v>
      </c>
      <c r="F218" s="21">
        <f>ROUND(1.9691,4)</f>
        <v>1.9691</v>
      </c>
      <c r="G218" s="19"/>
      <c r="H218" s="29"/>
    </row>
    <row r="219" spans="1:8" ht="12.75" customHeight="1">
      <c r="A219" s="31" t="s">
        <v>61</v>
      </c>
      <c r="B219" s="31"/>
      <c r="C219" s="18"/>
      <c r="D219" s="18"/>
      <c r="E219" s="18"/>
      <c r="F219" s="18"/>
      <c r="G219" s="19"/>
      <c r="H219" s="29"/>
    </row>
    <row r="220" spans="1:8" ht="12.75" customHeight="1">
      <c r="A220" s="31">
        <v>42786</v>
      </c>
      <c r="B220" s="31"/>
      <c r="C220" s="21">
        <f aca="true" t="shared" si="0" ref="C220:C225">ROUND(14.311671,4)</f>
        <v>14.3117</v>
      </c>
      <c r="D220" s="21">
        <f aca="true" t="shared" si="1" ref="D220:D225">F220</f>
        <v>14.3329</v>
      </c>
      <c r="E220" s="21">
        <f aca="true" t="shared" si="2" ref="E220:E225">F220</f>
        <v>14.3329</v>
      </c>
      <c r="F220" s="21">
        <f>ROUND(14.3329,4)</f>
        <v>14.3329</v>
      </c>
      <c r="G220" s="19"/>
      <c r="H220" s="29"/>
    </row>
    <row r="221" spans="1:8" ht="12.75" customHeight="1">
      <c r="A221" s="31">
        <v>42790</v>
      </c>
      <c r="B221" s="31"/>
      <c r="C221" s="21">
        <f t="shared" si="0"/>
        <v>14.3117</v>
      </c>
      <c r="D221" s="21">
        <f t="shared" si="1"/>
        <v>14.3449</v>
      </c>
      <c r="E221" s="21">
        <f t="shared" si="2"/>
        <v>14.3449</v>
      </c>
      <c r="F221" s="21">
        <f>ROUND(14.3449,4)</f>
        <v>14.3449</v>
      </c>
      <c r="G221" s="19"/>
      <c r="H221" s="29"/>
    </row>
    <row r="222" spans="1:8" ht="12.75" customHeight="1">
      <c r="A222" s="31">
        <v>42794</v>
      </c>
      <c r="B222" s="31"/>
      <c r="C222" s="21">
        <f t="shared" si="0"/>
        <v>14.3117</v>
      </c>
      <c r="D222" s="21">
        <f t="shared" si="1"/>
        <v>14.3567</v>
      </c>
      <c r="E222" s="21">
        <f t="shared" si="2"/>
        <v>14.3567</v>
      </c>
      <c r="F222" s="21">
        <f>ROUND(14.3567,4)</f>
        <v>14.3567</v>
      </c>
      <c r="G222" s="19"/>
      <c r="H222" s="29"/>
    </row>
    <row r="223" spans="1:8" ht="12.75" customHeight="1">
      <c r="A223" s="31">
        <v>42809</v>
      </c>
      <c r="B223" s="31"/>
      <c r="C223" s="21">
        <f t="shared" si="0"/>
        <v>14.3117</v>
      </c>
      <c r="D223" s="21">
        <f t="shared" si="1"/>
        <v>14.4042</v>
      </c>
      <c r="E223" s="21">
        <f t="shared" si="2"/>
        <v>14.4042</v>
      </c>
      <c r="F223" s="21">
        <f>ROUND(14.4042,4)</f>
        <v>14.4042</v>
      </c>
      <c r="G223" s="19"/>
      <c r="H223" s="29"/>
    </row>
    <row r="224" spans="1:8" ht="12.75" customHeight="1">
      <c r="A224" s="31">
        <v>42825</v>
      </c>
      <c r="B224" s="31"/>
      <c r="C224" s="21">
        <f t="shared" si="0"/>
        <v>14.3117</v>
      </c>
      <c r="D224" s="21">
        <f t="shared" si="1"/>
        <v>14.4591</v>
      </c>
      <c r="E224" s="21">
        <f t="shared" si="2"/>
        <v>14.4591</v>
      </c>
      <c r="F224" s="21">
        <f>ROUND(14.4591,4)</f>
        <v>14.4591</v>
      </c>
      <c r="G224" s="19"/>
      <c r="H224" s="29"/>
    </row>
    <row r="225" spans="1:8" ht="12.75" customHeight="1">
      <c r="A225" s="31">
        <v>42838</v>
      </c>
      <c r="B225" s="31"/>
      <c r="C225" s="21">
        <f t="shared" si="0"/>
        <v>14.3117</v>
      </c>
      <c r="D225" s="21">
        <f t="shared" si="1"/>
        <v>14.5037</v>
      </c>
      <c r="E225" s="21">
        <f t="shared" si="2"/>
        <v>14.5037</v>
      </c>
      <c r="F225" s="21">
        <f>ROUND(14.5037,4)</f>
        <v>14.5037</v>
      </c>
      <c r="G225" s="19"/>
      <c r="H225" s="29"/>
    </row>
    <row r="226" spans="1:8" ht="12.75" customHeight="1">
      <c r="A226" s="31" t="s">
        <v>62</v>
      </c>
      <c r="B226" s="31"/>
      <c r="C226" s="18"/>
      <c r="D226" s="18"/>
      <c r="E226" s="18"/>
      <c r="F226" s="18"/>
      <c r="G226" s="19"/>
      <c r="H226" s="29"/>
    </row>
    <row r="227" spans="1:8" ht="12.75" customHeight="1">
      <c r="A227" s="31">
        <v>42794</v>
      </c>
      <c r="B227" s="31"/>
      <c r="C227" s="21">
        <f>ROUND(16.8266085,4)</f>
        <v>16.8266</v>
      </c>
      <c r="D227" s="21">
        <f>F227</f>
        <v>16.8752</v>
      </c>
      <c r="E227" s="21">
        <f>F227</f>
        <v>16.8752</v>
      </c>
      <c r="F227" s="21">
        <f>ROUND(16.8752,4)</f>
        <v>16.8752</v>
      </c>
      <c r="G227" s="19"/>
      <c r="H227" s="29"/>
    </row>
    <row r="228" spans="1:8" ht="12.75" customHeight="1">
      <c r="A228" s="31">
        <v>42825</v>
      </c>
      <c r="B228" s="31"/>
      <c r="C228" s="21">
        <f>ROUND(16.8266085,4)</f>
        <v>16.8266</v>
      </c>
      <c r="D228" s="21">
        <f>F228</f>
        <v>16.9831</v>
      </c>
      <c r="E228" s="21">
        <f>F228</f>
        <v>16.9831</v>
      </c>
      <c r="F228" s="21">
        <f>ROUND(16.9831,4)</f>
        <v>16.9831</v>
      </c>
      <c r="G228" s="19"/>
      <c r="H228" s="29"/>
    </row>
    <row r="229" spans="1:8" ht="12.75" customHeight="1">
      <c r="A229" s="31">
        <v>42838</v>
      </c>
      <c r="B229" s="31"/>
      <c r="C229" s="21">
        <f>ROUND(16.8266085,4)</f>
        <v>16.8266</v>
      </c>
      <c r="D229" s="21">
        <f>F229</f>
        <v>17.0298</v>
      </c>
      <c r="E229" s="21">
        <f>F229</f>
        <v>17.0298</v>
      </c>
      <c r="F229" s="21">
        <f>ROUND(17.0298,4)</f>
        <v>17.0298</v>
      </c>
      <c r="G229" s="19"/>
      <c r="H229" s="29"/>
    </row>
    <row r="230" spans="1:8" ht="12.75" customHeight="1">
      <c r="A230" s="31">
        <v>42850</v>
      </c>
      <c r="B230" s="31"/>
      <c r="C230" s="21">
        <f>ROUND(16.8266085,4)</f>
        <v>16.8266</v>
      </c>
      <c r="D230" s="21">
        <f>F230</f>
        <v>17.0718</v>
      </c>
      <c r="E230" s="21">
        <f>F230</f>
        <v>17.0718</v>
      </c>
      <c r="F230" s="21">
        <f>ROUND(17.0718,4)</f>
        <v>17.0718</v>
      </c>
      <c r="G230" s="19"/>
      <c r="H230" s="29"/>
    </row>
    <row r="231" spans="1:8" ht="12.75" customHeight="1">
      <c r="A231" s="31">
        <v>42853</v>
      </c>
      <c r="B231" s="31"/>
      <c r="C231" s="21">
        <f>ROUND(16.8266085,4)</f>
        <v>16.8266</v>
      </c>
      <c r="D231" s="21">
        <f>F231</f>
        <v>17.0824</v>
      </c>
      <c r="E231" s="21">
        <f>F231</f>
        <v>17.0824</v>
      </c>
      <c r="F231" s="21">
        <f>ROUND(17.0824,4)</f>
        <v>17.0824</v>
      </c>
      <c r="G231" s="19"/>
      <c r="H231" s="29"/>
    </row>
    <row r="232" spans="1:8" ht="12.75" customHeight="1">
      <c r="A232" s="31" t="s">
        <v>63</v>
      </c>
      <c r="B232" s="31"/>
      <c r="C232" s="18"/>
      <c r="D232" s="18"/>
      <c r="E232" s="18"/>
      <c r="F232" s="18"/>
      <c r="G232" s="19"/>
      <c r="H232" s="29"/>
    </row>
    <row r="233" spans="1:8" ht="12.75" customHeight="1">
      <c r="A233" s="31">
        <v>42776</v>
      </c>
      <c r="B233" s="31"/>
      <c r="C233" s="21">
        <f aca="true" t="shared" si="3" ref="C233:C266">ROUND(13.413,4)</f>
        <v>13.413</v>
      </c>
      <c r="D233" s="21">
        <f aca="true" t="shared" si="4" ref="D233:D266">F233</f>
        <v>13.42</v>
      </c>
      <c r="E233" s="21">
        <f aca="true" t="shared" si="5" ref="E233:E266">F233</f>
        <v>13.42</v>
      </c>
      <c r="F233" s="21">
        <f>ROUND(13.42,4)</f>
        <v>13.42</v>
      </c>
      <c r="G233" s="19"/>
      <c r="H233" s="29"/>
    </row>
    <row r="234" spans="1:8" ht="12.75" customHeight="1">
      <c r="A234" s="31">
        <v>42782</v>
      </c>
      <c r="B234" s="31"/>
      <c r="C234" s="21">
        <f t="shared" si="3"/>
        <v>13.413</v>
      </c>
      <c r="D234" s="21">
        <f t="shared" si="4"/>
        <v>13.4202</v>
      </c>
      <c r="E234" s="21">
        <f t="shared" si="5"/>
        <v>13.4202</v>
      </c>
      <c r="F234" s="21">
        <f>ROUND(13.4202,4)</f>
        <v>13.4202</v>
      </c>
      <c r="G234" s="19"/>
      <c r="H234" s="29"/>
    </row>
    <row r="235" spans="1:8" ht="12.75" customHeight="1">
      <c r="A235" s="31">
        <v>42783</v>
      </c>
      <c r="B235" s="31"/>
      <c r="C235" s="21">
        <f t="shared" si="3"/>
        <v>13.413</v>
      </c>
      <c r="D235" s="21">
        <f t="shared" si="4"/>
        <v>13.4225</v>
      </c>
      <c r="E235" s="21">
        <f t="shared" si="5"/>
        <v>13.4225</v>
      </c>
      <c r="F235" s="21">
        <f>ROUND(13.4225,4)</f>
        <v>13.4225</v>
      </c>
      <c r="G235" s="19"/>
      <c r="H235" s="29"/>
    </row>
    <row r="236" spans="1:8" ht="12.75" customHeight="1">
      <c r="A236" s="31">
        <v>42788</v>
      </c>
      <c r="B236" s="31"/>
      <c r="C236" s="21">
        <f t="shared" si="3"/>
        <v>13.413</v>
      </c>
      <c r="D236" s="21">
        <f t="shared" si="4"/>
        <v>13.4345</v>
      </c>
      <c r="E236" s="21">
        <f t="shared" si="5"/>
        <v>13.4345</v>
      </c>
      <c r="F236" s="21">
        <f>ROUND(13.4345,4)</f>
        <v>13.4345</v>
      </c>
      <c r="G236" s="19"/>
      <c r="H236" s="29"/>
    </row>
    <row r="237" spans="1:8" ht="12.75" customHeight="1">
      <c r="A237" s="31">
        <v>42789</v>
      </c>
      <c r="B237" s="31"/>
      <c r="C237" s="21">
        <f t="shared" si="3"/>
        <v>13.413</v>
      </c>
      <c r="D237" s="21">
        <f t="shared" si="4"/>
        <v>13.4369</v>
      </c>
      <c r="E237" s="21">
        <f t="shared" si="5"/>
        <v>13.4369</v>
      </c>
      <c r="F237" s="21">
        <f>ROUND(13.4369,4)</f>
        <v>13.4369</v>
      </c>
      <c r="G237" s="19"/>
      <c r="H237" s="29"/>
    </row>
    <row r="238" spans="1:8" ht="12.75" customHeight="1">
      <c r="A238" s="31">
        <v>42790</v>
      </c>
      <c r="B238" s="31"/>
      <c r="C238" s="21">
        <f t="shared" si="3"/>
        <v>13.413</v>
      </c>
      <c r="D238" s="21">
        <f t="shared" si="4"/>
        <v>13.4393</v>
      </c>
      <c r="E238" s="21">
        <f t="shared" si="5"/>
        <v>13.4393</v>
      </c>
      <c r="F238" s="21">
        <f>ROUND(13.4393,4)</f>
        <v>13.4393</v>
      </c>
      <c r="G238" s="19"/>
      <c r="H238" s="29"/>
    </row>
    <row r="239" spans="1:8" ht="12.75" customHeight="1">
      <c r="A239" s="31">
        <v>42793</v>
      </c>
      <c r="B239" s="31"/>
      <c r="C239" s="21">
        <f t="shared" si="3"/>
        <v>13.413</v>
      </c>
      <c r="D239" s="21">
        <f t="shared" si="4"/>
        <v>13.4464</v>
      </c>
      <c r="E239" s="21">
        <f t="shared" si="5"/>
        <v>13.4464</v>
      </c>
      <c r="F239" s="21">
        <f>ROUND(13.4464,4)</f>
        <v>13.4464</v>
      </c>
      <c r="G239" s="19"/>
      <c r="H239" s="29"/>
    </row>
    <row r="240" spans="1:8" ht="12.75" customHeight="1">
      <c r="A240" s="31">
        <v>42794</v>
      </c>
      <c r="B240" s="31"/>
      <c r="C240" s="21">
        <f t="shared" si="3"/>
        <v>13.413</v>
      </c>
      <c r="D240" s="21">
        <f t="shared" si="4"/>
        <v>13.4488</v>
      </c>
      <c r="E240" s="21">
        <f t="shared" si="5"/>
        <v>13.4488</v>
      </c>
      <c r="F240" s="21">
        <f>ROUND(13.4488,4)</f>
        <v>13.4488</v>
      </c>
      <c r="G240" s="19"/>
      <c r="H240" s="29"/>
    </row>
    <row r="241" spans="1:8" ht="12.75" customHeight="1">
      <c r="A241" s="31">
        <v>42795</v>
      </c>
      <c r="B241" s="31"/>
      <c r="C241" s="21">
        <f t="shared" si="3"/>
        <v>13.413</v>
      </c>
      <c r="D241" s="21">
        <f t="shared" si="4"/>
        <v>13.4512</v>
      </c>
      <c r="E241" s="21">
        <f t="shared" si="5"/>
        <v>13.4512</v>
      </c>
      <c r="F241" s="21">
        <f>ROUND(13.4512,4)</f>
        <v>13.4512</v>
      </c>
      <c r="G241" s="19"/>
      <c r="H241" s="29"/>
    </row>
    <row r="242" spans="1:8" ht="12.75" customHeight="1">
      <c r="A242" s="31">
        <v>42823</v>
      </c>
      <c r="B242" s="31"/>
      <c r="C242" s="21">
        <f t="shared" si="3"/>
        <v>13.413</v>
      </c>
      <c r="D242" s="21">
        <f t="shared" si="4"/>
        <v>13.5194</v>
      </c>
      <c r="E242" s="21">
        <f t="shared" si="5"/>
        <v>13.5194</v>
      </c>
      <c r="F242" s="21">
        <f>ROUND(13.5194,4)</f>
        <v>13.5194</v>
      </c>
      <c r="G242" s="19"/>
      <c r="H242" s="29"/>
    </row>
    <row r="243" spans="1:8" ht="12.75" customHeight="1">
      <c r="A243" s="31">
        <v>42825</v>
      </c>
      <c r="B243" s="31"/>
      <c r="C243" s="21">
        <f t="shared" si="3"/>
        <v>13.413</v>
      </c>
      <c r="D243" s="21">
        <f t="shared" si="4"/>
        <v>13.5244</v>
      </c>
      <c r="E243" s="21">
        <f t="shared" si="5"/>
        <v>13.5244</v>
      </c>
      <c r="F243" s="21">
        <f>ROUND(13.5244,4)</f>
        <v>13.5244</v>
      </c>
      <c r="G243" s="19"/>
      <c r="H243" s="29"/>
    </row>
    <row r="244" spans="1:8" ht="12.75" customHeight="1">
      <c r="A244" s="31">
        <v>42836</v>
      </c>
      <c r="B244" s="31"/>
      <c r="C244" s="21">
        <f t="shared" si="3"/>
        <v>13.413</v>
      </c>
      <c r="D244" s="21">
        <f t="shared" si="4"/>
        <v>13.5516</v>
      </c>
      <c r="E244" s="21">
        <f t="shared" si="5"/>
        <v>13.5516</v>
      </c>
      <c r="F244" s="21">
        <f>ROUND(13.5516,4)</f>
        <v>13.5516</v>
      </c>
      <c r="G244" s="19"/>
      <c r="H244" s="29"/>
    </row>
    <row r="245" spans="1:8" ht="12.75" customHeight="1">
      <c r="A245" s="31">
        <v>42837</v>
      </c>
      <c r="B245" s="31"/>
      <c r="C245" s="21">
        <f t="shared" si="3"/>
        <v>13.413</v>
      </c>
      <c r="D245" s="21">
        <f t="shared" si="4"/>
        <v>13.554</v>
      </c>
      <c r="E245" s="21">
        <f t="shared" si="5"/>
        <v>13.554</v>
      </c>
      <c r="F245" s="21">
        <f>ROUND(13.554,4)</f>
        <v>13.554</v>
      </c>
      <c r="G245" s="19"/>
      <c r="H245" s="29"/>
    </row>
    <row r="246" spans="1:8" ht="12.75" customHeight="1">
      <c r="A246" s="31">
        <v>42838</v>
      </c>
      <c r="B246" s="31"/>
      <c r="C246" s="21">
        <f t="shared" si="3"/>
        <v>13.413</v>
      </c>
      <c r="D246" s="21">
        <f t="shared" si="4"/>
        <v>13.5565</v>
      </c>
      <c r="E246" s="21">
        <f t="shared" si="5"/>
        <v>13.5565</v>
      </c>
      <c r="F246" s="21">
        <f>ROUND(13.5565,4)</f>
        <v>13.5565</v>
      </c>
      <c r="G246" s="19"/>
      <c r="H246" s="29"/>
    </row>
    <row r="247" spans="1:8" ht="12.75" customHeight="1">
      <c r="A247" s="31">
        <v>42843</v>
      </c>
      <c r="B247" s="31"/>
      <c r="C247" s="21">
        <f t="shared" si="3"/>
        <v>13.413</v>
      </c>
      <c r="D247" s="21">
        <f t="shared" si="4"/>
        <v>13.5691</v>
      </c>
      <c r="E247" s="21">
        <f t="shared" si="5"/>
        <v>13.5691</v>
      </c>
      <c r="F247" s="21">
        <f>ROUND(13.5691,4)</f>
        <v>13.5691</v>
      </c>
      <c r="G247" s="19"/>
      <c r="H247" s="29"/>
    </row>
    <row r="248" spans="1:8" ht="12.75" customHeight="1">
      <c r="A248" s="31">
        <v>42846</v>
      </c>
      <c r="B248" s="31"/>
      <c r="C248" s="21">
        <f t="shared" si="3"/>
        <v>13.413</v>
      </c>
      <c r="D248" s="21">
        <f t="shared" si="4"/>
        <v>13.5766</v>
      </c>
      <c r="E248" s="21">
        <f t="shared" si="5"/>
        <v>13.5766</v>
      </c>
      <c r="F248" s="21">
        <f>ROUND(13.5766,4)</f>
        <v>13.5766</v>
      </c>
      <c r="G248" s="19"/>
      <c r="H248" s="29"/>
    </row>
    <row r="249" spans="1:8" ht="12.75" customHeight="1">
      <c r="A249" s="31">
        <v>42850</v>
      </c>
      <c r="B249" s="31"/>
      <c r="C249" s="21">
        <f t="shared" si="3"/>
        <v>13.413</v>
      </c>
      <c r="D249" s="21">
        <f t="shared" si="4"/>
        <v>13.5866</v>
      </c>
      <c r="E249" s="21">
        <f t="shared" si="5"/>
        <v>13.5866</v>
      </c>
      <c r="F249" s="21">
        <f>ROUND(13.5866,4)</f>
        <v>13.5866</v>
      </c>
      <c r="G249" s="19"/>
      <c r="H249" s="29"/>
    </row>
    <row r="250" spans="1:8" ht="12.75" customHeight="1">
      <c r="A250" s="31">
        <v>42853</v>
      </c>
      <c r="B250" s="31"/>
      <c r="C250" s="21">
        <f t="shared" si="3"/>
        <v>13.413</v>
      </c>
      <c r="D250" s="21">
        <f t="shared" si="4"/>
        <v>13.5942</v>
      </c>
      <c r="E250" s="21">
        <f t="shared" si="5"/>
        <v>13.5942</v>
      </c>
      <c r="F250" s="21">
        <f>ROUND(13.5942,4)</f>
        <v>13.5942</v>
      </c>
      <c r="G250" s="19"/>
      <c r="H250" s="29"/>
    </row>
    <row r="251" spans="1:8" ht="12.75" customHeight="1">
      <c r="A251" s="31">
        <v>42859</v>
      </c>
      <c r="B251" s="31"/>
      <c r="C251" s="21">
        <f t="shared" si="3"/>
        <v>13.413</v>
      </c>
      <c r="D251" s="21">
        <f t="shared" si="4"/>
        <v>13.6092</v>
      </c>
      <c r="E251" s="21">
        <f t="shared" si="5"/>
        <v>13.6092</v>
      </c>
      <c r="F251" s="21">
        <f>ROUND(13.6092,4)</f>
        <v>13.6092</v>
      </c>
      <c r="G251" s="19"/>
      <c r="H251" s="29"/>
    </row>
    <row r="252" spans="1:8" ht="12.75" customHeight="1">
      <c r="A252" s="31">
        <v>42881</v>
      </c>
      <c r="B252" s="31"/>
      <c r="C252" s="21">
        <f t="shared" si="3"/>
        <v>13.413</v>
      </c>
      <c r="D252" s="21">
        <f t="shared" si="4"/>
        <v>13.6643</v>
      </c>
      <c r="E252" s="21">
        <f t="shared" si="5"/>
        <v>13.6643</v>
      </c>
      <c r="F252" s="21">
        <f>ROUND(13.6643,4)</f>
        <v>13.6643</v>
      </c>
      <c r="G252" s="19"/>
      <c r="H252" s="29"/>
    </row>
    <row r="253" spans="1:8" ht="12.75" customHeight="1">
      <c r="A253" s="31">
        <v>42914</v>
      </c>
      <c r="B253" s="31"/>
      <c r="C253" s="21">
        <f t="shared" si="3"/>
        <v>13.413</v>
      </c>
      <c r="D253" s="21">
        <f t="shared" si="4"/>
        <v>13.7467</v>
      </c>
      <c r="E253" s="21">
        <f t="shared" si="5"/>
        <v>13.7467</v>
      </c>
      <c r="F253" s="21">
        <f>ROUND(13.7467,4)</f>
        <v>13.7467</v>
      </c>
      <c r="G253" s="19"/>
      <c r="H253" s="29"/>
    </row>
    <row r="254" spans="1:8" ht="12.75" customHeight="1">
      <c r="A254" s="31">
        <v>42916</v>
      </c>
      <c r="B254" s="31"/>
      <c r="C254" s="21">
        <f t="shared" si="3"/>
        <v>13.413</v>
      </c>
      <c r="D254" s="21">
        <f t="shared" si="4"/>
        <v>13.7517</v>
      </c>
      <c r="E254" s="21">
        <f t="shared" si="5"/>
        <v>13.7517</v>
      </c>
      <c r="F254" s="21">
        <f>ROUND(13.7517,4)</f>
        <v>13.7517</v>
      </c>
      <c r="G254" s="19"/>
      <c r="H254" s="29"/>
    </row>
    <row r="255" spans="1:8" ht="12.75" customHeight="1">
      <c r="A255" s="31">
        <v>42928</v>
      </c>
      <c r="B255" s="31"/>
      <c r="C255" s="21">
        <f t="shared" si="3"/>
        <v>13.413</v>
      </c>
      <c r="D255" s="21">
        <f t="shared" si="4"/>
        <v>13.7816</v>
      </c>
      <c r="E255" s="21">
        <f t="shared" si="5"/>
        <v>13.7816</v>
      </c>
      <c r="F255" s="21">
        <f>ROUND(13.7816,4)</f>
        <v>13.7816</v>
      </c>
      <c r="G255" s="19"/>
      <c r="H255" s="29"/>
    </row>
    <row r="256" spans="1:8" ht="12.75" customHeight="1">
      <c r="A256" s="31">
        <v>42937</v>
      </c>
      <c r="B256" s="31"/>
      <c r="C256" s="21">
        <f t="shared" si="3"/>
        <v>13.413</v>
      </c>
      <c r="D256" s="21">
        <f t="shared" si="4"/>
        <v>13.8041</v>
      </c>
      <c r="E256" s="21">
        <f t="shared" si="5"/>
        <v>13.8041</v>
      </c>
      <c r="F256" s="21">
        <f>ROUND(13.8041,4)</f>
        <v>13.8041</v>
      </c>
      <c r="G256" s="19"/>
      <c r="H256" s="29"/>
    </row>
    <row r="257" spans="1:8" ht="12.75" customHeight="1">
      <c r="A257" s="31">
        <v>42941</v>
      </c>
      <c r="B257" s="31"/>
      <c r="C257" s="21">
        <f t="shared" si="3"/>
        <v>13.413</v>
      </c>
      <c r="D257" s="21">
        <f t="shared" si="4"/>
        <v>13.8141</v>
      </c>
      <c r="E257" s="21">
        <f t="shared" si="5"/>
        <v>13.8141</v>
      </c>
      <c r="F257" s="21">
        <f>ROUND(13.8141,4)</f>
        <v>13.8141</v>
      </c>
      <c r="G257" s="19"/>
      <c r="H257" s="29"/>
    </row>
    <row r="258" spans="1:8" ht="12.75" customHeight="1">
      <c r="A258" s="31">
        <v>42943</v>
      </c>
      <c r="B258" s="31"/>
      <c r="C258" s="21">
        <f t="shared" si="3"/>
        <v>13.413</v>
      </c>
      <c r="D258" s="21">
        <f t="shared" si="4"/>
        <v>13.8191</v>
      </c>
      <c r="E258" s="21">
        <f t="shared" si="5"/>
        <v>13.8191</v>
      </c>
      <c r="F258" s="21">
        <f>ROUND(13.8191,4)</f>
        <v>13.8191</v>
      </c>
      <c r="G258" s="19"/>
      <c r="H258" s="29"/>
    </row>
    <row r="259" spans="1:8" ht="12.75" customHeight="1">
      <c r="A259" s="31">
        <v>42947</v>
      </c>
      <c r="B259" s="31"/>
      <c r="C259" s="21">
        <f t="shared" si="3"/>
        <v>13.413</v>
      </c>
      <c r="D259" s="21">
        <f t="shared" si="4"/>
        <v>13.8291</v>
      </c>
      <c r="E259" s="21">
        <f t="shared" si="5"/>
        <v>13.8291</v>
      </c>
      <c r="F259" s="21">
        <f>ROUND(13.8291,4)</f>
        <v>13.8291</v>
      </c>
      <c r="G259" s="19"/>
      <c r="H259" s="29"/>
    </row>
    <row r="260" spans="1:8" ht="12.75" customHeight="1">
      <c r="A260" s="31">
        <v>42976</v>
      </c>
      <c r="B260" s="31"/>
      <c r="C260" s="21">
        <f t="shared" si="3"/>
        <v>13.413</v>
      </c>
      <c r="D260" s="21">
        <f t="shared" si="4"/>
        <v>13.902</v>
      </c>
      <c r="E260" s="21">
        <f t="shared" si="5"/>
        <v>13.902</v>
      </c>
      <c r="F260" s="21">
        <f>ROUND(13.902,4)</f>
        <v>13.902</v>
      </c>
      <c r="G260" s="19"/>
      <c r="H260" s="29"/>
    </row>
    <row r="261" spans="1:8" ht="12.75" customHeight="1">
      <c r="A261" s="31">
        <v>43005</v>
      </c>
      <c r="B261" s="31"/>
      <c r="C261" s="21">
        <f t="shared" si="3"/>
        <v>13.413</v>
      </c>
      <c r="D261" s="21">
        <f t="shared" si="4"/>
        <v>13.9754</v>
      </c>
      <c r="E261" s="21">
        <f t="shared" si="5"/>
        <v>13.9754</v>
      </c>
      <c r="F261" s="21">
        <f>ROUND(13.9754,4)</f>
        <v>13.9754</v>
      </c>
      <c r="G261" s="19"/>
      <c r="H261" s="29"/>
    </row>
    <row r="262" spans="1:8" ht="12.75" customHeight="1">
      <c r="A262" s="31">
        <v>43031</v>
      </c>
      <c r="B262" s="31"/>
      <c r="C262" s="21">
        <f t="shared" si="3"/>
        <v>13.413</v>
      </c>
      <c r="D262" s="21">
        <f t="shared" si="4"/>
        <v>14.0413</v>
      </c>
      <c r="E262" s="21">
        <f t="shared" si="5"/>
        <v>14.0413</v>
      </c>
      <c r="F262" s="21">
        <f>ROUND(14.0413,4)</f>
        <v>14.0413</v>
      </c>
      <c r="G262" s="19"/>
      <c r="H262" s="29"/>
    </row>
    <row r="263" spans="1:8" ht="12.75" customHeight="1">
      <c r="A263" s="31">
        <v>43035</v>
      </c>
      <c r="B263" s="31"/>
      <c r="C263" s="21">
        <f t="shared" si="3"/>
        <v>13.413</v>
      </c>
      <c r="D263" s="21">
        <f t="shared" si="4"/>
        <v>14.0514</v>
      </c>
      <c r="E263" s="21">
        <f t="shared" si="5"/>
        <v>14.0514</v>
      </c>
      <c r="F263" s="21">
        <f>ROUND(14.0514,4)</f>
        <v>14.0514</v>
      </c>
      <c r="G263" s="19"/>
      <c r="H263" s="29"/>
    </row>
    <row r="264" spans="1:8" ht="12.75" customHeight="1">
      <c r="A264" s="31">
        <v>43067</v>
      </c>
      <c r="B264" s="31"/>
      <c r="C264" s="21">
        <f t="shared" si="3"/>
        <v>13.413</v>
      </c>
      <c r="D264" s="21">
        <f t="shared" si="4"/>
        <v>14.1321</v>
      </c>
      <c r="E264" s="21">
        <f t="shared" si="5"/>
        <v>14.1321</v>
      </c>
      <c r="F264" s="21">
        <f>ROUND(14.1321,4)</f>
        <v>14.1321</v>
      </c>
      <c r="G264" s="19"/>
      <c r="H264" s="29"/>
    </row>
    <row r="265" spans="1:8" ht="12.75" customHeight="1">
      <c r="A265" s="31">
        <v>43091</v>
      </c>
      <c r="B265" s="31"/>
      <c r="C265" s="21">
        <f t="shared" si="3"/>
        <v>13.413</v>
      </c>
      <c r="D265" s="21">
        <f t="shared" si="4"/>
        <v>14.1924</v>
      </c>
      <c r="E265" s="21">
        <f t="shared" si="5"/>
        <v>14.1924</v>
      </c>
      <c r="F265" s="21">
        <f>ROUND(14.1924,4)</f>
        <v>14.1924</v>
      </c>
      <c r="G265" s="19"/>
      <c r="H265" s="29"/>
    </row>
    <row r="266" spans="1:8" ht="12.75" customHeight="1">
      <c r="A266" s="31">
        <v>43215</v>
      </c>
      <c r="B266" s="31"/>
      <c r="C266" s="21">
        <f t="shared" si="3"/>
        <v>13.413</v>
      </c>
      <c r="D266" s="21">
        <f t="shared" si="4"/>
        <v>14.5035</v>
      </c>
      <c r="E266" s="21">
        <f t="shared" si="5"/>
        <v>14.5035</v>
      </c>
      <c r="F266" s="21">
        <f>ROUND(14.5035,4)</f>
        <v>14.5035</v>
      </c>
      <c r="G266" s="19"/>
      <c r="H266" s="29"/>
    </row>
    <row r="267" spans="1:8" ht="12.75" customHeight="1">
      <c r="A267" s="31" t="s">
        <v>64</v>
      </c>
      <c r="B267" s="31"/>
      <c r="C267" s="18"/>
      <c r="D267" s="18"/>
      <c r="E267" s="18"/>
      <c r="F267" s="18"/>
      <c r="G267" s="19"/>
      <c r="H267" s="29"/>
    </row>
    <row r="268" spans="1:8" ht="12.75" customHeight="1">
      <c r="A268" s="31">
        <v>42807</v>
      </c>
      <c r="B268" s="31"/>
      <c r="C268" s="21">
        <f>ROUND(1.067,4)</f>
        <v>1.067</v>
      </c>
      <c r="D268" s="21">
        <f>F268</f>
        <v>1.0681</v>
      </c>
      <c r="E268" s="21">
        <f>F268</f>
        <v>1.0681</v>
      </c>
      <c r="F268" s="21">
        <f>ROUND(1.0681,4)</f>
        <v>1.0681</v>
      </c>
      <c r="G268" s="19"/>
      <c r="H268" s="29"/>
    </row>
    <row r="269" spans="1:8" ht="12.75" customHeight="1">
      <c r="A269" s="31">
        <v>42905</v>
      </c>
      <c r="B269" s="31"/>
      <c r="C269" s="21">
        <f>ROUND(1.067,4)</f>
        <v>1.067</v>
      </c>
      <c r="D269" s="21">
        <f>F269</f>
        <v>1.0731</v>
      </c>
      <c r="E269" s="21">
        <f>F269</f>
        <v>1.0731</v>
      </c>
      <c r="F269" s="21">
        <f>ROUND(1.0731,4)</f>
        <v>1.0731</v>
      </c>
      <c r="G269" s="19"/>
      <c r="H269" s="29"/>
    </row>
    <row r="270" spans="1:8" ht="12.75" customHeight="1">
      <c r="A270" s="31">
        <v>42996</v>
      </c>
      <c r="B270" s="31"/>
      <c r="C270" s="21">
        <f>ROUND(1.067,4)</f>
        <v>1.067</v>
      </c>
      <c r="D270" s="21">
        <f>F270</f>
        <v>1.0782</v>
      </c>
      <c r="E270" s="21">
        <f>F270</f>
        <v>1.0782</v>
      </c>
      <c r="F270" s="21">
        <f>ROUND(1.0782,4)</f>
        <v>1.0782</v>
      </c>
      <c r="G270" s="19"/>
      <c r="H270" s="29"/>
    </row>
    <row r="271" spans="1:8" ht="12.75" customHeight="1">
      <c r="A271" s="31">
        <v>43087</v>
      </c>
      <c r="B271" s="31"/>
      <c r="C271" s="21">
        <f>ROUND(1.067,4)</f>
        <v>1.067</v>
      </c>
      <c r="D271" s="21">
        <f>F271</f>
        <v>1.0838</v>
      </c>
      <c r="E271" s="21">
        <f>F271</f>
        <v>1.0838</v>
      </c>
      <c r="F271" s="21">
        <f>ROUND(1.0838,4)</f>
        <v>1.0838</v>
      </c>
      <c r="G271" s="19"/>
      <c r="H271" s="29"/>
    </row>
    <row r="272" spans="1:8" ht="12.75" customHeight="1">
      <c r="A272" s="31" t="s">
        <v>65</v>
      </c>
      <c r="B272" s="31"/>
      <c r="C272" s="18"/>
      <c r="D272" s="18"/>
      <c r="E272" s="18"/>
      <c r="F272" s="18"/>
      <c r="G272" s="19"/>
      <c r="H272" s="29"/>
    </row>
    <row r="273" spans="1:8" ht="12.75" customHeight="1">
      <c r="A273" s="31">
        <v>42807</v>
      </c>
      <c r="B273" s="31"/>
      <c r="C273" s="21">
        <f>ROUND(1.2545,4)</f>
        <v>1.2545</v>
      </c>
      <c r="D273" s="21">
        <f>F273</f>
        <v>1.2551</v>
      </c>
      <c r="E273" s="21">
        <f>F273</f>
        <v>1.2551</v>
      </c>
      <c r="F273" s="21">
        <f>ROUND(1.2551,4)</f>
        <v>1.2551</v>
      </c>
      <c r="G273" s="19"/>
      <c r="H273" s="29"/>
    </row>
    <row r="274" spans="1:8" ht="12.75" customHeight="1">
      <c r="A274" s="31">
        <v>42905</v>
      </c>
      <c r="B274" s="31"/>
      <c r="C274" s="21">
        <f>ROUND(1.2545,4)</f>
        <v>1.2545</v>
      </c>
      <c r="D274" s="21">
        <f>F274</f>
        <v>1.258</v>
      </c>
      <c r="E274" s="21">
        <f>F274</f>
        <v>1.258</v>
      </c>
      <c r="F274" s="21">
        <f>ROUND(1.258,4)</f>
        <v>1.258</v>
      </c>
      <c r="G274" s="19"/>
      <c r="H274" s="29"/>
    </row>
    <row r="275" spans="1:8" ht="12.75" customHeight="1">
      <c r="A275" s="31">
        <v>42996</v>
      </c>
      <c r="B275" s="31"/>
      <c r="C275" s="21">
        <f>ROUND(1.2545,4)</f>
        <v>1.2545</v>
      </c>
      <c r="D275" s="21">
        <f>F275</f>
        <v>1.2611</v>
      </c>
      <c r="E275" s="21">
        <f>F275</f>
        <v>1.2611</v>
      </c>
      <c r="F275" s="21">
        <f>ROUND(1.2611,4)</f>
        <v>1.2611</v>
      </c>
      <c r="G275" s="19"/>
      <c r="H275" s="29"/>
    </row>
    <row r="276" spans="1:8" ht="12.75" customHeight="1">
      <c r="A276" s="31">
        <v>43087</v>
      </c>
      <c r="B276" s="31"/>
      <c r="C276" s="21">
        <f>ROUND(1.2545,4)</f>
        <v>1.2545</v>
      </c>
      <c r="D276" s="21">
        <f>F276</f>
        <v>1.2645</v>
      </c>
      <c r="E276" s="21">
        <f>F276</f>
        <v>1.2645</v>
      </c>
      <c r="F276" s="21">
        <f>ROUND(1.2645,4)</f>
        <v>1.2645</v>
      </c>
      <c r="G276" s="19"/>
      <c r="H276" s="29"/>
    </row>
    <row r="277" spans="1:8" ht="12.75" customHeight="1">
      <c r="A277" s="31" t="s">
        <v>66</v>
      </c>
      <c r="B277" s="31"/>
      <c r="C277" s="18"/>
      <c r="D277" s="18"/>
      <c r="E277" s="18"/>
      <c r="F277" s="18"/>
      <c r="G277" s="19"/>
      <c r="H277" s="29"/>
    </row>
    <row r="278" spans="1:8" ht="12.75" customHeight="1">
      <c r="A278" s="31">
        <v>42807</v>
      </c>
      <c r="B278" s="31"/>
      <c r="C278" s="21">
        <f aca="true" t="shared" si="6" ref="C278:C284">ROUND(10.2448494,4)</f>
        <v>10.2448</v>
      </c>
      <c r="D278" s="21">
        <f aca="true" t="shared" si="7" ref="D278:D284">F278</f>
        <v>10.2888</v>
      </c>
      <c r="E278" s="21">
        <f aca="true" t="shared" si="8" ref="E278:E284">F278</f>
        <v>10.2888</v>
      </c>
      <c r="F278" s="21">
        <f>ROUND(10.2888,4)</f>
        <v>10.2888</v>
      </c>
      <c r="G278" s="19"/>
      <c r="H278" s="29"/>
    </row>
    <row r="279" spans="1:8" ht="12.75" customHeight="1">
      <c r="A279" s="31">
        <v>42905</v>
      </c>
      <c r="B279" s="31"/>
      <c r="C279" s="21">
        <f t="shared" si="6"/>
        <v>10.2448</v>
      </c>
      <c r="D279" s="21">
        <f t="shared" si="7"/>
        <v>10.4523</v>
      </c>
      <c r="E279" s="21">
        <f t="shared" si="8"/>
        <v>10.4523</v>
      </c>
      <c r="F279" s="21">
        <f>ROUND(10.4523,4)</f>
        <v>10.4523</v>
      </c>
      <c r="G279" s="19"/>
      <c r="H279" s="29"/>
    </row>
    <row r="280" spans="1:8" ht="12.75" customHeight="1">
      <c r="A280" s="31">
        <v>42996</v>
      </c>
      <c r="B280" s="31"/>
      <c r="C280" s="21">
        <f t="shared" si="6"/>
        <v>10.2448</v>
      </c>
      <c r="D280" s="21">
        <f t="shared" si="7"/>
        <v>10.6079</v>
      </c>
      <c r="E280" s="21">
        <f t="shared" si="8"/>
        <v>10.6079</v>
      </c>
      <c r="F280" s="21">
        <f>ROUND(10.6079,4)</f>
        <v>10.6079</v>
      </c>
      <c r="G280" s="19"/>
      <c r="H280" s="29"/>
    </row>
    <row r="281" spans="1:8" ht="12.75" customHeight="1">
      <c r="A281" s="31">
        <v>43087</v>
      </c>
      <c r="B281" s="31"/>
      <c r="C281" s="21">
        <f t="shared" si="6"/>
        <v>10.2448</v>
      </c>
      <c r="D281" s="21">
        <f t="shared" si="7"/>
        <v>10.7666</v>
      </c>
      <c r="E281" s="21">
        <f t="shared" si="8"/>
        <v>10.7666</v>
      </c>
      <c r="F281" s="21">
        <f>ROUND(10.7666,4)</f>
        <v>10.7666</v>
      </c>
      <c r="G281" s="19"/>
      <c r="H281" s="29"/>
    </row>
    <row r="282" spans="1:8" ht="12.75" customHeight="1">
      <c r="A282" s="31">
        <v>43178</v>
      </c>
      <c r="B282" s="31"/>
      <c r="C282" s="21">
        <f t="shared" si="6"/>
        <v>10.2448</v>
      </c>
      <c r="D282" s="21">
        <f t="shared" si="7"/>
        <v>10.9263</v>
      </c>
      <c r="E282" s="21">
        <f t="shared" si="8"/>
        <v>10.9263</v>
      </c>
      <c r="F282" s="21">
        <f>ROUND(10.9263,4)</f>
        <v>10.9263</v>
      </c>
      <c r="G282" s="19"/>
      <c r="H282" s="29"/>
    </row>
    <row r="283" spans="1:8" ht="12.75" customHeight="1">
      <c r="A283" s="31">
        <v>43269</v>
      </c>
      <c r="B283" s="31"/>
      <c r="C283" s="21">
        <f t="shared" si="6"/>
        <v>10.2448</v>
      </c>
      <c r="D283" s="21">
        <f t="shared" si="7"/>
        <v>11.0853</v>
      </c>
      <c r="E283" s="21">
        <f t="shared" si="8"/>
        <v>11.0853</v>
      </c>
      <c r="F283" s="21">
        <f>ROUND(11.0853,4)</f>
        <v>11.0853</v>
      </c>
      <c r="G283" s="19"/>
      <c r="H283" s="29"/>
    </row>
    <row r="284" spans="1:8" ht="12.75" customHeight="1">
      <c r="A284" s="31">
        <v>43360</v>
      </c>
      <c r="B284" s="31"/>
      <c r="C284" s="21">
        <f t="shared" si="6"/>
        <v>10.2448</v>
      </c>
      <c r="D284" s="21">
        <f t="shared" si="7"/>
        <v>11.2436</v>
      </c>
      <c r="E284" s="21">
        <f t="shared" si="8"/>
        <v>11.2436</v>
      </c>
      <c r="F284" s="21">
        <f>ROUND(11.2436,4)</f>
        <v>11.2436</v>
      </c>
      <c r="G284" s="19"/>
      <c r="H284" s="29"/>
    </row>
    <row r="285" spans="1:8" ht="12.75" customHeight="1">
      <c r="A285" s="31" t="s">
        <v>67</v>
      </c>
      <c r="B285" s="31"/>
      <c r="C285" s="18"/>
      <c r="D285" s="18"/>
      <c r="E285" s="18"/>
      <c r="F285" s="18"/>
      <c r="G285" s="19"/>
      <c r="H285" s="29"/>
    </row>
    <row r="286" spans="1:8" ht="12.75" customHeight="1">
      <c r="A286" s="31">
        <v>42807</v>
      </c>
      <c r="B286" s="31"/>
      <c r="C286" s="21">
        <f>ROUND(3.65188270848648,4)</f>
        <v>3.6519</v>
      </c>
      <c r="D286" s="21">
        <f>F286</f>
        <v>4.0477</v>
      </c>
      <c r="E286" s="21">
        <f>F286</f>
        <v>4.0477</v>
      </c>
      <c r="F286" s="21">
        <f>ROUND(4.0477,4)</f>
        <v>4.0477</v>
      </c>
      <c r="G286" s="19"/>
      <c r="H286" s="29"/>
    </row>
    <row r="287" spans="1:8" ht="12.75" customHeight="1">
      <c r="A287" s="31">
        <v>42905</v>
      </c>
      <c r="B287" s="31"/>
      <c r="C287" s="21">
        <f>ROUND(3.65188270848648,4)</f>
        <v>3.6519</v>
      </c>
      <c r="D287" s="21">
        <f>F287</f>
        <v>4.1077</v>
      </c>
      <c r="E287" s="21">
        <f>F287</f>
        <v>4.1077</v>
      </c>
      <c r="F287" s="21">
        <f>ROUND(4.1077,4)</f>
        <v>4.1077</v>
      </c>
      <c r="G287" s="19"/>
      <c r="H287" s="29"/>
    </row>
    <row r="288" spans="1:8" ht="12.75" customHeight="1">
      <c r="A288" s="31">
        <v>42996</v>
      </c>
      <c r="B288" s="31"/>
      <c r="C288" s="21">
        <f>ROUND(3.65188270848648,4)</f>
        <v>3.6519</v>
      </c>
      <c r="D288" s="21">
        <f>F288</f>
        <v>4.1726</v>
      </c>
      <c r="E288" s="21">
        <f>F288</f>
        <v>4.1726</v>
      </c>
      <c r="F288" s="21">
        <f>ROUND(4.1726,4)</f>
        <v>4.1726</v>
      </c>
      <c r="G288" s="19"/>
      <c r="H288" s="29"/>
    </row>
    <row r="289" spans="1:8" ht="12.75" customHeight="1">
      <c r="A289" s="31" t="s">
        <v>68</v>
      </c>
      <c r="B289" s="31"/>
      <c r="C289" s="18"/>
      <c r="D289" s="18"/>
      <c r="E289" s="18"/>
      <c r="F289" s="18"/>
      <c r="G289" s="19"/>
      <c r="H289" s="29"/>
    </row>
    <row r="290" spans="1:8" ht="12.75" customHeight="1">
      <c r="A290" s="31">
        <v>42807</v>
      </c>
      <c r="B290" s="31"/>
      <c r="C290" s="21">
        <f>ROUND(1.27624695,4)</f>
        <v>1.2762</v>
      </c>
      <c r="D290" s="21">
        <f>F290</f>
        <v>1.281</v>
      </c>
      <c r="E290" s="21">
        <f>F290</f>
        <v>1.281</v>
      </c>
      <c r="F290" s="21">
        <f>ROUND(1.281,4)</f>
        <v>1.281</v>
      </c>
      <c r="G290" s="19"/>
      <c r="H290" s="29"/>
    </row>
    <row r="291" spans="1:8" ht="12.75" customHeight="1">
      <c r="A291" s="31">
        <v>42905</v>
      </c>
      <c r="B291" s="31"/>
      <c r="C291" s="21">
        <f>ROUND(1.27624695,4)</f>
        <v>1.2762</v>
      </c>
      <c r="D291" s="21">
        <f>F291</f>
        <v>1.3004</v>
      </c>
      <c r="E291" s="21">
        <f>F291</f>
        <v>1.3004</v>
      </c>
      <c r="F291" s="21">
        <f>ROUND(1.3004,4)</f>
        <v>1.3004</v>
      </c>
      <c r="G291" s="19"/>
      <c r="H291" s="29"/>
    </row>
    <row r="292" spans="1:8" ht="12.75" customHeight="1">
      <c r="A292" s="31">
        <v>42996</v>
      </c>
      <c r="B292" s="31"/>
      <c r="C292" s="21">
        <f>ROUND(1.27624695,4)</f>
        <v>1.2762</v>
      </c>
      <c r="D292" s="21">
        <f>F292</f>
        <v>1.3173</v>
      </c>
      <c r="E292" s="21">
        <f>F292</f>
        <v>1.3173</v>
      </c>
      <c r="F292" s="21">
        <f>ROUND(1.3173,4)</f>
        <v>1.3173</v>
      </c>
      <c r="G292" s="19"/>
      <c r="H292" s="29"/>
    </row>
    <row r="293" spans="1:8" ht="12.75" customHeight="1">
      <c r="A293" s="31">
        <v>43087</v>
      </c>
      <c r="B293" s="31"/>
      <c r="C293" s="21">
        <f>ROUND(1.27624695,4)</f>
        <v>1.2762</v>
      </c>
      <c r="D293" s="21">
        <f>F293</f>
        <v>1.333</v>
      </c>
      <c r="E293" s="21">
        <f>F293</f>
        <v>1.333</v>
      </c>
      <c r="F293" s="21">
        <f>ROUND(1.333,4)</f>
        <v>1.333</v>
      </c>
      <c r="G293" s="19"/>
      <c r="H293" s="29"/>
    </row>
    <row r="294" spans="1:8" ht="12.75" customHeight="1">
      <c r="A294" s="31" t="s">
        <v>69</v>
      </c>
      <c r="B294" s="31"/>
      <c r="C294" s="18"/>
      <c r="D294" s="18"/>
      <c r="E294" s="18"/>
      <c r="F294" s="18"/>
      <c r="G294" s="19"/>
      <c r="H294" s="29"/>
    </row>
    <row r="295" spans="1:8" ht="12.75" customHeight="1">
      <c r="A295" s="31">
        <v>42807</v>
      </c>
      <c r="B295" s="31"/>
      <c r="C295" s="21">
        <f>ROUND(10.2163150278011,4)</f>
        <v>10.2163</v>
      </c>
      <c r="D295" s="21">
        <f>F295</f>
        <v>10.2694</v>
      </c>
      <c r="E295" s="21">
        <f>F295</f>
        <v>10.2694</v>
      </c>
      <c r="F295" s="21">
        <f>ROUND(10.2694,4)</f>
        <v>10.2694</v>
      </c>
      <c r="G295" s="19"/>
      <c r="H295" s="29"/>
    </row>
    <row r="296" spans="1:8" ht="12.75" customHeight="1">
      <c r="A296" s="31">
        <v>42905</v>
      </c>
      <c r="B296" s="31"/>
      <c r="C296" s="21">
        <f>ROUND(10.2163150278011,4)</f>
        <v>10.2163</v>
      </c>
      <c r="D296" s="21">
        <f>F296</f>
        <v>10.4656</v>
      </c>
      <c r="E296" s="21">
        <f>F296</f>
        <v>10.4656</v>
      </c>
      <c r="F296" s="21">
        <f>ROUND(10.4656,4)</f>
        <v>10.4656</v>
      </c>
      <c r="G296" s="19"/>
      <c r="H296" s="29"/>
    </row>
    <row r="297" spans="1:8" ht="12.75" customHeight="1">
      <c r="A297" s="31">
        <v>42996</v>
      </c>
      <c r="B297" s="31"/>
      <c r="C297" s="21">
        <f>ROUND(10.2163150278011,4)</f>
        <v>10.2163</v>
      </c>
      <c r="D297" s="21">
        <f>F297</f>
        <v>10.6517</v>
      </c>
      <c r="E297" s="21">
        <f>F297</f>
        <v>10.6517</v>
      </c>
      <c r="F297" s="21">
        <f>ROUND(10.6517,4)</f>
        <v>10.6517</v>
      </c>
      <c r="G297" s="19"/>
      <c r="H297" s="29"/>
    </row>
    <row r="298" spans="1:8" ht="12.75" customHeight="1">
      <c r="A298" s="31">
        <v>43087</v>
      </c>
      <c r="B298" s="31"/>
      <c r="C298" s="21">
        <f>ROUND(10.2163150278011,4)</f>
        <v>10.2163</v>
      </c>
      <c r="D298" s="21">
        <f>F298</f>
        <v>10.8414</v>
      </c>
      <c r="E298" s="21">
        <f>F298</f>
        <v>10.8414</v>
      </c>
      <c r="F298" s="21">
        <f>ROUND(10.8414,4)</f>
        <v>10.8414</v>
      </c>
      <c r="G298" s="19"/>
      <c r="H298" s="29"/>
    </row>
    <row r="299" spans="1:8" ht="12.75" customHeight="1">
      <c r="A299" s="31" t="s">
        <v>70</v>
      </c>
      <c r="B299" s="31"/>
      <c r="C299" s="18"/>
      <c r="D299" s="18"/>
      <c r="E299" s="18"/>
      <c r="F299" s="18"/>
      <c r="G299" s="19"/>
      <c r="H299" s="29"/>
    </row>
    <row r="300" spans="1:8" ht="12.75" customHeight="1">
      <c r="A300" s="31">
        <v>42807</v>
      </c>
      <c r="B300" s="31"/>
      <c r="C300" s="21">
        <f>ROUND(1.96763881590471,4)</f>
        <v>1.9676</v>
      </c>
      <c r="D300" s="21">
        <f>F300</f>
        <v>1.9615</v>
      </c>
      <c r="E300" s="21">
        <f>F300</f>
        <v>1.9615</v>
      </c>
      <c r="F300" s="21">
        <f>ROUND(1.9615,4)</f>
        <v>1.9615</v>
      </c>
      <c r="G300" s="19"/>
      <c r="H300" s="29"/>
    </row>
    <row r="301" spans="1:8" ht="12.75" customHeight="1">
      <c r="A301" s="31">
        <v>42905</v>
      </c>
      <c r="B301" s="31"/>
      <c r="C301" s="21">
        <f>ROUND(1.96763881590471,4)</f>
        <v>1.9676</v>
      </c>
      <c r="D301" s="21">
        <f>F301</f>
        <v>1.9778</v>
      </c>
      <c r="E301" s="21">
        <f>F301</f>
        <v>1.9778</v>
      </c>
      <c r="F301" s="21">
        <f>ROUND(1.9778,4)</f>
        <v>1.9778</v>
      </c>
      <c r="G301" s="19"/>
      <c r="H301" s="29"/>
    </row>
    <row r="302" spans="1:8" ht="12.75" customHeight="1">
      <c r="A302" s="31">
        <v>42996</v>
      </c>
      <c r="B302" s="31"/>
      <c r="C302" s="21">
        <f>ROUND(1.96763881590471,4)</f>
        <v>1.9676</v>
      </c>
      <c r="D302" s="21">
        <f>F302</f>
        <v>1.9952</v>
      </c>
      <c r="E302" s="21">
        <f>F302</f>
        <v>1.9952</v>
      </c>
      <c r="F302" s="21">
        <f>ROUND(1.9952,4)</f>
        <v>1.9952</v>
      </c>
      <c r="G302" s="19"/>
      <c r="H302" s="29"/>
    </row>
    <row r="303" spans="1:8" ht="12.75" customHeight="1">
      <c r="A303" s="31">
        <v>43087</v>
      </c>
      <c r="B303" s="31"/>
      <c r="C303" s="21">
        <f>ROUND(1.96763881590471,4)</f>
        <v>1.9676</v>
      </c>
      <c r="D303" s="21">
        <f>F303</f>
        <v>2.0124</v>
      </c>
      <c r="E303" s="21">
        <f>F303</f>
        <v>2.0124</v>
      </c>
      <c r="F303" s="21">
        <f>ROUND(2.0124,4)</f>
        <v>2.0124</v>
      </c>
      <c r="G303" s="19"/>
      <c r="H303" s="29"/>
    </row>
    <row r="304" spans="1:8" ht="12.75" customHeight="1">
      <c r="A304" s="31" t="s">
        <v>71</v>
      </c>
      <c r="B304" s="31"/>
      <c r="C304" s="18"/>
      <c r="D304" s="18"/>
      <c r="E304" s="18"/>
      <c r="F304" s="18"/>
      <c r="G304" s="19"/>
      <c r="H304" s="29"/>
    </row>
    <row r="305" spans="1:8" ht="12.75" customHeight="1">
      <c r="A305" s="31">
        <v>42807</v>
      </c>
      <c r="B305" s="31"/>
      <c r="C305" s="21">
        <f>ROUND(1.92505310293358,4)</f>
        <v>1.9251</v>
      </c>
      <c r="D305" s="21">
        <f>F305</f>
        <v>1.9395</v>
      </c>
      <c r="E305" s="21">
        <f>F305</f>
        <v>1.9395</v>
      </c>
      <c r="F305" s="21">
        <f>ROUND(1.9395,4)</f>
        <v>1.9395</v>
      </c>
      <c r="G305" s="19"/>
      <c r="H305" s="29"/>
    </row>
    <row r="306" spans="1:8" ht="12.75" customHeight="1">
      <c r="A306" s="31">
        <v>42905</v>
      </c>
      <c r="B306" s="31"/>
      <c r="C306" s="21">
        <f>ROUND(1.92505310293358,4)</f>
        <v>1.9251</v>
      </c>
      <c r="D306" s="21">
        <f>F306</f>
        <v>1.9848</v>
      </c>
      <c r="E306" s="21">
        <f>F306</f>
        <v>1.9848</v>
      </c>
      <c r="F306" s="21">
        <f>ROUND(1.9848,4)</f>
        <v>1.9848</v>
      </c>
      <c r="G306" s="19"/>
      <c r="H306" s="29"/>
    </row>
    <row r="307" spans="1:8" ht="12.75" customHeight="1">
      <c r="A307" s="31">
        <v>42996</v>
      </c>
      <c r="B307" s="31"/>
      <c r="C307" s="21">
        <f>ROUND(1.92505310293358,4)</f>
        <v>1.9251</v>
      </c>
      <c r="D307" s="21">
        <f>F307</f>
        <v>2.0281</v>
      </c>
      <c r="E307" s="21">
        <f>F307</f>
        <v>2.0281</v>
      </c>
      <c r="F307" s="21">
        <f>ROUND(2.0281,4)</f>
        <v>2.0281</v>
      </c>
      <c r="G307" s="19"/>
      <c r="H307" s="29"/>
    </row>
    <row r="308" spans="1:8" ht="12.75" customHeight="1">
      <c r="A308" s="31">
        <v>43087</v>
      </c>
      <c r="B308" s="31"/>
      <c r="C308" s="21">
        <f>ROUND(1.92505310293358,4)</f>
        <v>1.9251</v>
      </c>
      <c r="D308" s="21">
        <f>F308</f>
        <v>2.0744</v>
      </c>
      <c r="E308" s="21">
        <f>F308</f>
        <v>2.0744</v>
      </c>
      <c r="F308" s="21">
        <f>ROUND(2.0744,4)</f>
        <v>2.0744</v>
      </c>
      <c r="G308" s="19"/>
      <c r="H308" s="29"/>
    </row>
    <row r="309" spans="1:8" ht="12.75" customHeight="1">
      <c r="A309" s="31" t="s">
        <v>72</v>
      </c>
      <c r="B309" s="31"/>
      <c r="C309" s="18"/>
      <c r="D309" s="18"/>
      <c r="E309" s="18"/>
      <c r="F309" s="18"/>
      <c r="G309" s="19"/>
      <c r="H309" s="29"/>
    </row>
    <row r="310" spans="1:8" ht="12.75" customHeight="1">
      <c r="A310" s="31">
        <v>42807</v>
      </c>
      <c r="B310" s="31"/>
      <c r="C310" s="21">
        <f aca="true" t="shared" si="9" ref="C310:C316">ROUND(14.311671,4)</f>
        <v>14.3117</v>
      </c>
      <c r="D310" s="21">
        <f aca="true" t="shared" si="10" ref="D310:D316">F310</f>
        <v>14.3974</v>
      </c>
      <c r="E310" s="21">
        <f aca="true" t="shared" si="11" ref="E310:E316">F310</f>
        <v>14.3974</v>
      </c>
      <c r="F310" s="21">
        <f>ROUND(14.3974,4)</f>
        <v>14.3974</v>
      </c>
      <c r="G310" s="19"/>
      <c r="H310" s="29"/>
    </row>
    <row r="311" spans="1:8" ht="12.75" customHeight="1">
      <c r="A311" s="31">
        <v>42905</v>
      </c>
      <c r="B311" s="31"/>
      <c r="C311" s="21">
        <f t="shared" si="9"/>
        <v>14.3117</v>
      </c>
      <c r="D311" s="21">
        <f t="shared" si="10"/>
        <v>14.7273</v>
      </c>
      <c r="E311" s="21">
        <f t="shared" si="11"/>
        <v>14.7273</v>
      </c>
      <c r="F311" s="21">
        <f>ROUND(14.7273,4)</f>
        <v>14.7273</v>
      </c>
      <c r="G311" s="19"/>
      <c r="H311" s="29"/>
    </row>
    <row r="312" spans="1:8" ht="12.75" customHeight="1">
      <c r="A312" s="31">
        <v>42996</v>
      </c>
      <c r="B312" s="31"/>
      <c r="C312" s="21">
        <f t="shared" si="9"/>
        <v>14.3117</v>
      </c>
      <c r="D312" s="21">
        <f t="shared" si="10"/>
        <v>15.0439</v>
      </c>
      <c r="E312" s="21">
        <f t="shared" si="11"/>
        <v>15.0439</v>
      </c>
      <c r="F312" s="21">
        <f>ROUND(15.0439,4)</f>
        <v>15.0439</v>
      </c>
      <c r="G312" s="19"/>
      <c r="H312" s="29"/>
    </row>
    <row r="313" spans="1:8" ht="12.75" customHeight="1">
      <c r="A313" s="31">
        <v>43087</v>
      </c>
      <c r="B313" s="31"/>
      <c r="C313" s="21">
        <f t="shared" si="9"/>
        <v>14.3117</v>
      </c>
      <c r="D313" s="21">
        <f t="shared" si="10"/>
        <v>15.3705</v>
      </c>
      <c r="E313" s="21">
        <f t="shared" si="11"/>
        <v>15.3705</v>
      </c>
      <c r="F313" s="21">
        <f>ROUND(15.3705,4)</f>
        <v>15.3705</v>
      </c>
      <c r="G313" s="19"/>
      <c r="H313" s="29"/>
    </row>
    <row r="314" spans="1:8" ht="12.75" customHeight="1">
      <c r="A314" s="31">
        <v>43178</v>
      </c>
      <c r="B314" s="31"/>
      <c r="C314" s="21">
        <f t="shared" si="9"/>
        <v>14.3117</v>
      </c>
      <c r="D314" s="21">
        <f t="shared" si="10"/>
        <v>15.6941</v>
      </c>
      <c r="E314" s="21">
        <f t="shared" si="11"/>
        <v>15.6941</v>
      </c>
      <c r="F314" s="21">
        <f>ROUND(15.6941,4)</f>
        <v>15.6941</v>
      </c>
      <c r="G314" s="19"/>
      <c r="H314" s="29"/>
    </row>
    <row r="315" spans="1:8" ht="12.75" customHeight="1">
      <c r="A315" s="31">
        <v>43269</v>
      </c>
      <c r="B315" s="31"/>
      <c r="C315" s="21">
        <f t="shared" si="9"/>
        <v>14.3117</v>
      </c>
      <c r="D315" s="21">
        <f t="shared" si="10"/>
        <v>16.0228</v>
      </c>
      <c r="E315" s="21">
        <f t="shared" si="11"/>
        <v>16.0228</v>
      </c>
      <c r="F315" s="21">
        <f>ROUND(16.0228,4)</f>
        <v>16.0228</v>
      </c>
      <c r="G315" s="19"/>
      <c r="H315" s="29"/>
    </row>
    <row r="316" spans="1:8" ht="12.75" customHeight="1">
      <c r="A316" s="31">
        <v>43360</v>
      </c>
      <c r="B316" s="31"/>
      <c r="C316" s="21">
        <f t="shared" si="9"/>
        <v>14.3117</v>
      </c>
      <c r="D316" s="21">
        <f t="shared" si="10"/>
        <v>16.4103</v>
      </c>
      <c r="E316" s="21">
        <f t="shared" si="11"/>
        <v>16.4103</v>
      </c>
      <c r="F316" s="21">
        <f>ROUND(16.4103,4)</f>
        <v>16.4103</v>
      </c>
      <c r="G316" s="19"/>
      <c r="H316" s="29"/>
    </row>
    <row r="317" spans="1:8" ht="12.75" customHeight="1">
      <c r="A317" s="31" t="s">
        <v>73</v>
      </c>
      <c r="B317" s="31"/>
      <c r="C317" s="18"/>
      <c r="D317" s="18"/>
      <c r="E317" s="18"/>
      <c r="F317" s="18"/>
      <c r="G317" s="19"/>
      <c r="H317" s="29"/>
    </row>
    <row r="318" spans="1:8" ht="12.75" customHeight="1">
      <c r="A318" s="31">
        <v>42807</v>
      </c>
      <c r="B318" s="31"/>
      <c r="C318" s="21">
        <f>ROUND(13.423738991193,4)</f>
        <v>13.4237</v>
      </c>
      <c r="D318" s="21">
        <f>F318</f>
        <v>13.5087</v>
      </c>
      <c r="E318" s="21">
        <f>F318</f>
        <v>13.5087</v>
      </c>
      <c r="F318" s="21">
        <f>ROUND(13.5087,4)</f>
        <v>13.5087</v>
      </c>
      <c r="G318" s="19"/>
      <c r="H318" s="29"/>
    </row>
    <row r="319" spans="1:8" ht="12.75" customHeight="1">
      <c r="A319" s="31">
        <v>42905</v>
      </c>
      <c r="B319" s="31"/>
      <c r="C319" s="21">
        <f>ROUND(13.423738991193,4)</f>
        <v>13.4237</v>
      </c>
      <c r="D319" s="21">
        <f>F319</f>
        <v>13.8354</v>
      </c>
      <c r="E319" s="21">
        <f>F319</f>
        <v>13.8354</v>
      </c>
      <c r="F319" s="21">
        <f>ROUND(13.8354,4)</f>
        <v>13.8354</v>
      </c>
      <c r="G319" s="19"/>
      <c r="H319" s="29"/>
    </row>
    <row r="320" spans="1:8" ht="12.75" customHeight="1">
      <c r="A320" s="31">
        <v>42996</v>
      </c>
      <c r="B320" s="31"/>
      <c r="C320" s="21">
        <f>ROUND(13.423738991193,4)</f>
        <v>13.4237</v>
      </c>
      <c r="D320" s="21">
        <f>F320</f>
        <v>14.1528</v>
      </c>
      <c r="E320" s="21">
        <f>F320</f>
        <v>14.1528</v>
      </c>
      <c r="F320" s="21">
        <f>ROUND(14.1528,4)</f>
        <v>14.1528</v>
      </c>
      <c r="G320" s="19"/>
      <c r="H320" s="29"/>
    </row>
    <row r="321" spans="1:8" ht="12.75" customHeight="1">
      <c r="A321" s="31">
        <v>43087</v>
      </c>
      <c r="B321" s="31"/>
      <c r="C321" s="21">
        <f>ROUND(13.423738991193,4)</f>
        <v>13.4237</v>
      </c>
      <c r="D321" s="21">
        <f>F321</f>
        <v>14.48</v>
      </c>
      <c r="E321" s="21">
        <f>F321</f>
        <v>14.48</v>
      </c>
      <c r="F321" s="21">
        <f>ROUND(14.48,4)</f>
        <v>14.48</v>
      </c>
      <c r="G321" s="19"/>
      <c r="H321" s="29"/>
    </row>
    <row r="322" spans="1:8" ht="12.75" customHeight="1">
      <c r="A322" s="31">
        <v>43178</v>
      </c>
      <c r="B322" s="31"/>
      <c r="C322" s="21">
        <f>ROUND(13.423738991193,4)</f>
        <v>13.4237</v>
      </c>
      <c r="D322" s="21">
        <f>F322</f>
        <v>14.8019</v>
      </c>
      <c r="E322" s="21">
        <f>F322</f>
        <v>14.8019</v>
      </c>
      <c r="F322" s="21">
        <f>ROUND(14.8019,4)</f>
        <v>14.8019</v>
      </c>
      <c r="G322" s="19"/>
      <c r="H322" s="29"/>
    </row>
    <row r="323" spans="1:8" ht="12.75" customHeight="1">
      <c r="A323" s="31" t="s">
        <v>74</v>
      </c>
      <c r="B323" s="31"/>
      <c r="C323" s="18"/>
      <c r="D323" s="18"/>
      <c r="E323" s="18"/>
      <c r="F323" s="18"/>
      <c r="G323" s="19"/>
      <c r="H323" s="29"/>
    </row>
    <row r="324" spans="1:8" ht="12.75" customHeight="1">
      <c r="A324" s="31">
        <v>42807</v>
      </c>
      <c r="B324" s="31"/>
      <c r="C324" s="21">
        <f aca="true" t="shared" si="12" ref="C324:C330">ROUND(16.8266085,4)</f>
        <v>16.8266</v>
      </c>
      <c r="D324" s="21">
        <f aca="true" t="shared" si="13" ref="D324:D330">F324</f>
        <v>16.9184</v>
      </c>
      <c r="E324" s="21">
        <f aca="true" t="shared" si="14" ref="E324:E330">F324</f>
        <v>16.9184</v>
      </c>
      <c r="F324" s="21">
        <f>ROUND(16.9184,4)</f>
        <v>16.9184</v>
      </c>
      <c r="G324" s="19"/>
      <c r="H324" s="29"/>
    </row>
    <row r="325" spans="1:8" ht="12.75" customHeight="1">
      <c r="A325" s="31">
        <v>42905</v>
      </c>
      <c r="B325" s="31"/>
      <c r="C325" s="21">
        <f t="shared" si="12"/>
        <v>16.8266</v>
      </c>
      <c r="D325" s="21">
        <f t="shared" si="13"/>
        <v>17.265</v>
      </c>
      <c r="E325" s="21">
        <f t="shared" si="14"/>
        <v>17.265</v>
      </c>
      <c r="F325" s="21">
        <f>ROUND(17.265,4)</f>
        <v>17.265</v>
      </c>
      <c r="G325" s="19"/>
      <c r="H325" s="29"/>
    </row>
    <row r="326" spans="1:8" ht="12.75" customHeight="1">
      <c r="A326" s="31">
        <v>42996</v>
      </c>
      <c r="B326" s="31"/>
      <c r="C326" s="21">
        <f t="shared" si="12"/>
        <v>16.8266</v>
      </c>
      <c r="D326" s="21">
        <f t="shared" si="13"/>
        <v>17.5956</v>
      </c>
      <c r="E326" s="21">
        <f t="shared" si="14"/>
        <v>17.5956</v>
      </c>
      <c r="F326" s="21">
        <f>ROUND(17.5956,4)</f>
        <v>17.5956</v>
      </c>
      <c r="G326" s="19"/>
      <c r="H326" s="29"/>
    </row>
    <row r="327" spans="1:8" ht="12.75" customHeight="1">
      <c r="A327" s="31">
        <v>43087</v>
      </c>
      <c r="B327" s="31"/>
      <c r="C327" s="21">
        <f t="shared" si="12"/>
        <v>16.8266</v>
      </c>
      <c r="D327" s="21">
        <f t="shared" si="13"/>
        <v>17.9342</v>
      </c>
      <c r="E327" s="21">
        <f t="shared" si="14"/>
        <v>17.9342</v>
      </c>
      <c r="F327" s="21">
        <f>ROUND(17.9342,4)</f>
        <v>17.9342</v>
      </c>
      <c r="G327" s="19"/>
      <c r="H327" s="29"/>
    </row>
    <row r="328" spans="1:8" ht="12.75" customHeight="1">
      <c r="A328" s="31">
        <v>43178</v>
      </c>
      <c r="B328" s="31"/>
      <c r="C328" s="21">
        <f t="shared" si="12"/>
        <v>16.8266</v>
      </c>
      <c r="D328" s="21">
        <f t="shared" si="13"/>
        <v>18.2819</v>
      </c>
      <c r="E328" s="21">
        <f t="shared" si="14"/>
        <v>18.2819</v>
      </c>
      <c r="F328" s="21">
        <f>ROUND(18.2819,4)</f>
        <v>18.2819</v>
      </c>
      <c r="G328" s="19"/>
      <c r="H328" s="29"/>
    </row>
    <row r="329" spans="1:8" ht="12.75" customHeight="1">
      <c r="A329" s="31">
        <v>43269</v>
      </c>
      <c r="B329" s="31"/>
      <c r="C329" s="21">
        <f t="shared" si="12"/>
        <v>16.8266</v>
      </c>
      <c r="D329" s="21">
        <f t="shared" si="13"/>
        <v>18.6287</v>
      </c>
      <c r="E329" s="21">
        <f t="shared" si="14"/>
        <v>18.6287</v>
      </c>
      <c r="F329" s="21">
        <f>ROUND(18.6287,4)</f>
        <v>18.6287</v>
      </c>
      <c r="G329" s="19"/>
      <c r="H329" s="29"/>
    </row>
    <row r="330" spans="1:8" ht="12.75" customHeight="1">
      <c r="A330" s="31">
        <v>43360</v>
      </c>
      <c r="B330" s="31"/>
      <c r="C330" s="21">
        <f t="shared" si="12"/>
        <v>16.8266</v>
      </c>
      <c r="D330" s="21">
        <f t="shared" si="13"/>
        <v>18.689</v>
      </c>
      <c r="E330" s="21">
        <f t="shared" si="14"/>
        <v>18.689</v>
      </c>
      <c r="F330" s="21">
        <f>ROUND(18.689,4)</f>
        <v>18.689</v>
      </c>
      <c r="G330" s="19"/>
      <c r="H330" s="29"/>
    </row>
    <row r="331" spans="1:8" ht="12.75" customHeight="1">
      <c r="A331" s="31" t="s">
        <v>75</v>
      </c>
      <c r="B331" s="31"/>
      <c r="C331" s="18"/>
      <c r="D331" s="18"/>
      <c r="E331" s="18"/>
      <c r="F331" s="18"/>
      <c r="G331" s="19"/>
      <c r="H331" s="29"/>
    </row>
    <row r="332" spans="1:8" ht="12.75" customHeight="1">
      <c r="A332" s="31">
        <v>42807</v>
      </c>
      <c r="B332" s="31"/>
      <c r="C332" s="21">
        <f>ROUND(1.72890269524755,4)</f>
        <v>1.7289</v>
      </c>
      <c r="D332" s="21">
        <f>F332</f>
        <v>1.7382</v>
      </c>
      <c r="E332" s="21">
        <f>F332</f>
        <v>1.7382</v>
      </c>
      <c r="F332" s="21">
        <f>ROUND(1.7382,4)</f>
        <v>1.7382</v>
      </c>
      <c r="G332" s="19"/>
      <c r="H332" s="29"/>
    </row>
    <row r="333" spans="1:8" ht="12.75" customHeight="1">
      <c r="A333" s="31">
        <v>42905</v>
      </c>
      <c r="B333" s="31"/>
      <c r="C333" s="21">
        <f>ROUND(1.72890269524755,4)</f>
        <v>1.7289</v>
      </c>
      <c r="D333" s="21">
        <f>F333</f>
        <v>1.7714</v>
      </c>
      <c r="E333" s="21">
        <f>F333</f>
        <v>1.7714</v>
      </c>
      <c r="F333" s="21">
        <f>ROUND(1.7714,4)</f>
        <v>1.7714</v>
      </c>
      <c r="G333" s="19"/>
      <c r="H333" s="29"/>
    </row>
    <row r="334" spans="1:8" ht="12.75" customHeight="1">
      <c r="A334" s="31">
        <v>42996</v>
      </c>
      <c r="B334" s="31"/>
      <c r="C334" s="21">
        <f>ROUND(1.72890269524755,4)</f>
        <v>1.7289</v>
      </c>
      <c r="D334" s="21">
        <f>F334</f>
        <v>1.8017</v>
      </c>
      <c r="E334" s="21">
        <f>F334</f>
        <v>1.8017</v>
      </c>
      <c r="F334" s="21">
        <f>ROUND(1.8017,4)</f>
        <v>1.8017</v>
      </c>
      <c r="G334" s="19"/>
      <c r="H334" s="29"/>
    </row>
    <row r="335" spans="1:8" ht="12.75" customHeight="1">
      <c r="A335" s="31">
        <v>43087</v>
      </c>
      <c r="B335" s="31"/>
      <c r="C335" s="21">
        <f>ROUND(1.72890269524755,4)</f>
        <v>1.7289</v>
      </c>
      <c r="D335" s="21">
        <f>F335</f>
        <v>1.8314</v>
      </c>
      <c r="E335" s="21">
        <f>F335</f>
        <v>1.8314</v>
      </c>
      <c r="F335" s="21">
        <f>ROUND(1.8314,4)</f>
        <v>1.8314</v>
      </c>
      <c r="G335" s="19"/>
      <c r="H335" s="29"/>
    </row>
    <row r="336" spans="1:8" ht="12.75" customHeight="1">
      <c r="A336" s="31" t="s">
        <v>76</v>
      </c>
      <c r="B336" s="31"/>
      <c r="C336" s="18"/>
      <c r="D336" s="18"/>
      <c r="E336" s="18"/>
      <c r="F336" s="18"/>
      <c r="G336" s="19"/>
      <c r="H336" s="29"/>
    </row>
    <row r="337" spans="1:8" ht="12.75" customHeight="1">
      <c r="A337" s="31">
        <v>42807</v>
      </c>
      <c r="B337" s="31"/>
      <c r="C337" s="23">
        <f>ROUND(0.11900558074333,6)</f>
        <v>0.119006</v>
      </c>
      <c r="D337" s="23">
        <f>F337</f>
        <v>0.119689</v>
      </c>
      <c r="E337" s="23">
        <f>F337</f>
        <v>0.119689</v>
      </c>
      <c r="F337" s="23">
        <f>ROUND(0.119689,6)</f>
        <v>0.119689</v>
      </c>
      <c r="G337" s="19"/>
      <c r="H337" s="29"/>
    </row>
    <row r="338" spans="1:8" ht="12.75" customHeight="1">
      <c r="A338" s="31">
        <v>42905</v>
      </c>
      <c r="B338" s="31"/>
      <c r="C338" s="23">
        <f>ROUND(0.11900558074333,6)</f>
        <v>0.119006</v>
      </c>
      <c r="D338" s="23">
        <f>F338</f>
        <v>0.122398</v>
      </c>
      <c r="E338" s="23">
        <f>F338</f>
        <v>0.122398</v>
      </c>
      <c r="F338" s="23">
        <f>ROUND(0.122398,6)</f>
        <v>0.122398</v>
      </c>
      <c r="G338" s="19"/>
      <c r="H338" s="29"/>
    </row>
    <row r="339" spans="1:8" ht="12.75" customHeight="1">
      <c r="A339" s="31">
        <v>42996</v>
      </c>
      <c r="B339" s="31"/>
      <c r="C339" s="23">
        <f>ROUND(0.11900558074333,6)</f>
        <v>0.119006</v>
      </c>
      <c r="D339" s="23">
        <f>F339</f>
        <v>0.125004</v>
      </c>
      <c r="E339" s="23">
        <f>F339</f>
        <v>0.125004</v>
      </c>
      <c r="F339" s="23">
        <f>ROUND(0.125004,6)</f>
        <v>0.125004</v>
      </c>
      <c r="G339" s="19"/>
      <c r="H339" s="29"/>
    </row>
    <row r="340" spans="1:8" ht="12.75" customHeight="1">
      <c r="A340" s="31">
        <v>43087</v>
      </c>
      <c r="B340" s="31"/>
      <c r="C340" s="23">
        <f>ROUND(0.11900558074333,6)</f>
        <v>0.119006</v>
      </c>
      <c r="D340" s="23">
        <f>F340</f>
        <v>0.127695</v>
      </c>
      <c r="E340" s="23">
        <f>F340</f>
        <v>0.127695</v>
      </c>
      <c r="F340" s="23">
        <f>ROUND(0.127695,6)</f>
        <v>0.127695</v>
      </c>
      <c r="G340" s="19"/>
      <c r="H340" s="29"/>
    </row>
    <row r="341" spans="1:8" ht="12.75" customHeight="1">
      <c r="A341" s="31">
        <v>43178</v>
      </c>
      <c r="B341" s="31"/>
      <c r="C341" s="23">
        <f>ROUND(0.11900558074333,6)</f>
        <v>0.119006</v>
      </c>
      <c r="D341" s="23">
        <f>F341</f>
        <v>0.130528</v>
      </c>
      <c r="E341" s="23">
        <f>F341</f>
        <v>0.130528</v>
      </c>
      <c r="F341" s="23">
        <f>ROUND(0.130528,6)</f>
        <v>0.130528</v>
      </c>
      <c r="G341" s="19"/>
      <c r="H341" s="29"/>
    </row>
    <row r="342" spans="1:8" ht="12.75" customHeight="1">
      <c r="A342" s="31" t="s">
        <v>77</v>
      </c>
      <c r="B342" s="31"/>
      <c r="C342" s="18"/>
      <c r="D342" s="18"/>
      <c r="E342" s="18"/>
      <c r="F342" s="18"/>
      <c r="G342" s="19"/>
      <c r="H342" s="29"/>
    </row>
    <row r="343" spans="1:8" ht="12.75" customHeight="1">
      <c r="A343" s="31">
        <v>42807</v>
      </c>
      <c r="B343" s="31"/>
      <c r="C343" s="21">
        <f>ROUND(0.129469111969112,4)</f>
        <v>0.1295</v>
      </c>
      <c r="D343" s="21">
        <f>F343</f>
        <v>0.1295</v>
      </c>
      <c r="E343" s="21">
        <f>F343</f>
        <v>0.1295</v>
      </c>
      <c r="F343" s="21">
        <f>ROUND(0.1295,4)</f>
        <v>0.1295</v>
      </c>
      <c r="G343" s="19"/>
      <c r="H343" s="29"/>
    </row>
    <row r="344" spans="1:8" ht="12.75" customHeight="1">
      <c r="A344" s="31">
        <v>42905</v>
      </c>
      <c r="B344" s="31"/>
      <c r="C344" s="21">
        <f>ROUND(0.129469111969112,4)</f>
        <v>0.1295</v>
      </c>
      <c r="D344" s="21">
        <f>F344</f>
        <v>0.1293</v>
      </c>
      <c r="E344" s="21">
        <f>F344</f>
        <v>0.1293</v>
      </c>
      <c r="F344" s="21">
        <f>ROUND(0.1293,4)</f>
        <v>0.1293</v>
      </c>
      <c r="G344" s="19"/>
      <c r="H344" s="29"/>
    </row>
    <row r="345" spans="1:8" ht="12.75" customHeight="1">
      <c r="A345" s="31">
        <v>42996</v>
      </c>
      <c r="B345" s="31"/>
      <c r="C345" s="21">
        <f>ROUND(0.129469111969112,4)</f>
        <v>0.1295</v>
      </c>
      <c r="D345" s="21">
        <f>F345</f>
        <v>0.1292</v>
      </c>
      <c r="E345" s="21">
        <f>F345</f>
        <v>0.1292</v>
      </c>
      <c r="F345" s="21">
        <f>ROUND(0.1292,4)</f>
        <v>0.1292</v>
      </c>
      <c r="G345" s="19"/>
      <c r="H345" s="29"/>
    </row>
    <row r="346" spans="1:8" ht="12.75" customHeight="1">
      <c r="A346" s="31">
        <v>43087</v>
      </c>
      <c r="B346" s="31"/>
      <c r="C346" s="21">
        <f>ROUND(0.129469111969112,4)</f>
        <v>0.1295</v>
      </c>
      <c r="D346" s="21">
        <f>F346</f>
        <v>0.1288</v>
      </c>
      <c r="E346" s="21">
        <f>F346</f>
        <v>0.1288</v>
      </c>
      <c r="F346" s="21">
        <f>ROUND(0.1288,4)</f>
        <v>0.1288</v>
      </c>
      <c r="G346" s="19"/>
      <c r="H346" s="29"/>
    </row>
    <row r="347" spans="1:8" ht="12.75" customHeight="1">
      <c r="A347" s="31" t="s">
        <v>78</v>
      </c>
      <c r="B347" s="31"/>
      <c r="C347" s="18"/>
      <c r="D347" s="18"/>
      <c r="E347" s="18"/>
      <c r="F347" s="18"/>
      <c r="G347" s="19"/>
      <c r="H347" s="29"/>
    </row>
    <row r="348" spans="1:8" ht="12.75" customHeight="1">
      <c r="A348" s="31">
        <v>42807</v>
      </c>
      <c r="B348" s="31"/>
      <c r="C348" s="21">
        <f>ROUND(0.0892261001517451,4)</f>
        <v>0.0892</v>
      </c>
      <c r="D348" s="21">
        <f>F348</f>
        <v>0.0404</v>
      </c>
      <c r="E348" s="21">
        <f>F348</f>
        <v>0.0404</v>
      </c>
      <c r="F348" s="21">
        <f>ROUND(0.0404,4)</f>
        <v>0.0404</v>
      </c>
      <c r="G348" s="19"/>
      <c r="H348" s="29"/>
    </row>
    <row r="349" spans="1:8" ht="12.75" customHeight="1">
      <c r="A349" s="31">
        <v>42905</v>
      </c>
      <c r="B349" s="31"/>
      <c r="C349" s="21">
        <f>ROUND(0.0892261001517451,4)</f>
        <v>0.0892</v>
      </c>
      <c r="D349" s="21">
        <f>F349</f>
        <v>0.0391</v>
      </c>
      <c r="E349" s="21">
        <f>F349</f>
        <v>0.0391</v>
      </c>
      <c r="F349" s="21">
        <f>ROUND(0.0391,4)</f>
        <v>0.0391</v>
      </c>
      <c r="G349" s="19"/>
      <c r="H349" s="29"/>
    </row>
    <row r="350" spans="1:8" ht="12.75" customHeight="1">
      <c r="A350" s="31">
        <v>42996</v>
      </c>
      <c r="B350" s="31"/>
      <c r="C350" s="21">
        <f>ROUND(0.0892261001517451,4)</f>
        <v>0.0892</v>
      </c>
      <c r="D350" s="21">
        <f>F350</f>
        <v>0.0383</v>
      </c>
      <c r="E350" s="21">
        <f>F350</f>
        <v>0.0383</v>
      </c>
      <c r="F350" s="21">
        <f>ROUND(0.0383,4)</f>
        <v>0.0383</v>
      </c>
      <c r="G350" s="19"/>
      <c r="H350" s="29"/>
    </row>
    <row r="351" spans="1:8" ht="12.75" customHeight="1">
      <c r="A351" s="31" t="s">
        <v>79</v>
      </c>
      <c r="B351" s="31"/>
      <c r="C351" s="18"/>
      <c r="D351" s="18"/>
      <c r="E351" s="18"/>
      <c r="F351" s="18"/>
      <c r="G351" s="19"/>
      <c r="H351" s="29"/>
    </row>
    <row r="352" spans="1:8" ht="12.75" customHeight="1">
      <c r="A352" s="31">
        <v>42807</v>
      </c>
      <c r="B352" s="31"/>
      <c r="C352" s="21">
        <f>ROUND(9.6519948,4)</f>
        <v>9.652</v>
      </c>
      <c r="D352" s="21">
        <f>F352</f>
        <v>9.6919</v>
      </c>
      <c r="E352" s="21">
        <f>F352</f>
        <v>9.6919</v>
      </c>
      <c r="F352" s="21">
        <f>ROUND(9.6919,4)</f>
        <v>9.6919</v>
      </c>
      <c r="G352" s="19"/>
      <c r="H352" s="29"/>
    </row>
    <row r="353" spans="1:8" ht="12.75" customHeight="1">
      <c r="A353" s="31">
        <v>42905</v>
      </c>
      <c r="B353" s="31"/>
      <c r="C353" s="21">
        <f>ROUND(9.6519948,4)</f>
        <v>9.652</v>
      </c>
      <c r="D353" s="21">
        <f>F353</f>
        <v>9.8389</v>
      </c>
      <c r="E353" s="21">
        <f>F353</f>
        <v>9.8389</v>
      </c>
      <c r="F353" s="21">
        <f>ROUND(9.8389,4)</f>
        <v>9.8389</v>
      </c>
      <c r="G353" s="19"/>
      <c r="H353" s="29"/>
    </row>
    <row r="354" spans="1:8" ht="12.75" customHeight="1">
      <c r="A354" s="31">
        <v>42996</v>
      </c>
      <c r="B354" s="31"/>
      <c r="C354" s="21">
        <f>ROUND(9.6519948,4)</f>
        <v>9.652</v>
      </c>
      <c r="D354" s="21">
        <f>F354</f>
        <v>9.9785</v>
      </c>
      <c r="E354" s="21">
        <f>F354</f>
        <v>9.9785</v>
      </c>
      <c r="F354" s="21">
        <f>ROUND(9.9785,4)</f>
        <v>9.9785</v>
      </c>
      <c r="G354" s="19"/>
      <c r="H354" s="29"/>
    </row>
    <row r="355" spans="1:8" ht="12.75" customHeight="1">
      <c r="A355" s="31">
        <v>43087</v>
      </c>
      <c r="B355" s="31"/>
      <c r="C355" s="21">
        <f>ROUND(9.6519948,4)</f>
        <v>9.652</v>
      </c>
      <c r="D355" s="21">
        <f>F355</f>
        <v>10.1191</v>
      </c>
      <c r="E355" s="21">
        <f>F355</f>
        <v>10.1191</v>
      </c>
      <c r="F355" s="21">
        <f>ROUND(10.1191,4)</f>
        <v>10.1191</v>
      </c>
      <c r="G355" s="19"/>
      <c r="H355" s="29"/>
    </row>
    <row r="356" spans="1:8" ht="12.75" customHeight="1">
      <c r="A356" s="31" t="s">
        <v>80</v>
      </c>
      <c r="B356" s="31"/>
      <c r="C356" s="18"/>
      <c r="D356" s="18"/>
      <c r="E356" s="18"/>
      <c r="F356" s="18"/>
      <c r="G356" s="19"/>
      <c r="H356" s="29"/>
    </row>
    <row r="357" spans="1:8" ht="12.75" customHeight="1">
      <c r="A357" s="31">
        <v>42807</v>
      </c>
      <c r="B357" s="31"/>
      <c r="C357" s="21">
        <f>ROUND(9.46310145336532,4)</f>
        <v>9.4631</v>
      </c>
      <c r="D357" s="21">
        <f>F357</f>
        <v>9.5119</v>
      </c>
      <c r="E357" s="21">
        <f>F357</f>
        <v>9.5119</v>
      </c>
      <c r="F357" s="21">
        <f>ROUND(9.5119,4)</f>
        <v>9.5119</v>
      </c>
      <c r="G357" s="19"/>
      <c r="H357" s="29"/>
    </row>
    <row r="358" spans="1:8" ht="12.75" customHeight="1">
      <c r="A358" s="31">
        <v>42905</v>
      </c>
      <c r="B358" s="31"/>
      <c r="C358" s="21">
        <f>ROUND(9.46310145336532,4)</f>
        <v>9.4631</v>
      </c>
      <c r="D358" s="21">
        <f>F358</f>
        <v>9.6893</v>
      </c>
      <c r="E358" s="21">
        <f>F358</f>
        <v>9.6893</v>
      </c>
      <c r="F358" s="21">
        <f>ROUND(9.6893,4)</f>
        <v>9.6893</v>
      </c>
      <c r="G358" s="19"/>
      <c r="H358" s="29"/>
    </row>
    <row r="359" spans="1:8" ht="12.75" customHeight="1">
      <c r="A359" s="31">
        <v>42996</v>
      </c>
      <c r="B359" s="31"/>
      <c r="C359" s="21">
        <f>ROUND(9.46310145336532,4)</f>
        <v>9.4631</v>
      </c>
      <c r="D359" s="21">
        <f>F359</f>
        <v>9.8536</v>
      </c>
      <c r="E359" s="21">
        <f>F359</f>
        <v>9.8536</v>
      </c>
      <c r="F359" s="21">
        <f>ROUND(9.8536,4)</f>
        <v>9.8536</v>
      </c>
      <c r="G359" s="19"/>
      <c r="H359" s="29"/>
    </row>
    <row r="360" spans="1:8" ht="12.75" customHeight="1">
      <c r="A360" s="31">
        <v>43087</v>
      </c>
      <c r="B360" s="31"/>
      <c r="C360" s="21">
        <f>ROUND(9.46310145336532,4)</f>
        <v>9.4631</v>
      </c>
      <c r="D360" s="21">
        <f>F360</f>
        <v>10.0195</v>
      </c>
      <c r="E360" s="21">
        <f>F360</f>
        <v>10.0195</v>
      </c>
      <c r="F360" s="21">
        <f>ROUND(10.0195,4)</f>
        <v>10.0195</v>
      </c>
      <c r="G360" s="19"/>
      <c r="H360" s="29"/>
    </row>
    <row r="361" spans="1:8" ht="12.75" customHeight="1">
      <c r="A361" s="31" t="s">
        <v>81</v>
      </c>
      <c r="B361" s="31"/>
      <c r="C361" s="18"/>
      <c r="D361" s="18"/>
      <c r="E361" s="18"/>
      <c r="F361" s="18"/>
      <c r="G361" s="19"/>
      <c r="H361" s="29"/>
    </row>
    <row r="362" spans="1:8" ht="12.75" customHeight="1">
      <c r="A362" s="31">
        <v>42807</v>
      </c>
      <c r="B362" s="31"/>
      <c r="C362" s="21">
        <f>ROUND(3.63771967888913,4)</f>
        <v>3.6377</v>
      </c>
      <c r="D362" s="21">
        <f>F362</f>
        <v>3.6275</v>
      </c>
      <c r="E362" s="21">
        <f>F362</f>
        <v>3.6275</v>
      </c>
      <c r="F362" s="21">
        <f>ROUND(3.6275,4)</f>
        <v>3.6275</v>
      </c>
      <c r="G362" s="19"/>
      <c r="H362" s="29"/>
    </row>
    <row r="363" spans="1:8" ht="12.75" customHeight="1">
      <c r="A363" s="31">
        <v>42905</v>
      </c>
      <c r="B363" s="31"/>
      <c r="C363" s="21">
        <f>ROUND(3.63771967888913,4)</f>
        <v>3.6377</v>
      </c>
      <c r="D363" s="21">
        <f>F363</f>
        <v>3.5942</v>
      </c>
      <c r="E363" s="21">
        <f>F363</f>
        <v>3.5942</v>
      </c>
      <c r="F363" s="21">
        <f>ROUND(3.5942,4)</f>
        <v>3.5942</v>
      </c>
      <c r="G363" s="19"/>
      <c r="H363" s="29"/>
    </row>
    <row r="364" spans="1:8" ht="12.75" customHeight="1">
      <c r="A364" s="31">
        <v>42996</v>
      </c>
      <c r="B364" s="31"/>
      <c r="C364" s="21">
        <f>ROUND(3.63771967888913,4)</f>
        <v>3.6377</v>
      </c>
      <c r="D364" s="21">
        <f>F364</f>
        <v>3.5652</v>
      </c>
      <c r="E364" s="21">
        <f>F364</f>
        <v>3.5652</v>
      </c>
      <c r="F364" s="21">
        <f>ROUND(3.5652,4)</f>
        <v>3.5652</v>
      </c>
      <c r="G364" s="19"/>
      <c r="H364" s="29"/>
    </row>
    <row r="365" spans="1:8" ht="12.75" customHeight="1">
      <c r="A365" s="31" t="s">
        <v>82</v>
      </c>
      <c r="B365" s="31"/>
      <c r="C365" s="18"/>
      <c r="D365" s="18"/>
      <c r="E365" s="18"/>
      <c r="F365" s="18"/>
      <c r="G365" s="19"/>
      <c r="H365" s="29"/>
    </row>
    <row r="366" spans="1:8" ht="12.75" customHeight="1">
      <c r="A366" s="31">
        <v>42807</v>
      </c>
      <c r="B366" s="31"/>
      <c r="C366" s="21">
        <f>ROUND(13.413,4)</f>
        <v>13.413</v>
      </c>
      <c r="D366" s="21">
        <f>F366</f>
        <v>13.4799</v>
      </c>
      <c r="E366" s="21">
        <f>F366</f>
        <v>13.4799</v>
      </c>
      <c r="F366" s="21">
        <f>ROUND(13.4799,4)</f>
        <v>13.4799</v>
      </c>
      <c r="G366" s="19"/>
      <c r="H366" s="29"/>
    </row>
    <row r="367" spans="1:8" ht="12.75" customHeight="1">
      <c r="A367" s="31">
        <v>42905</v>
      </c>
      <c r="B367" s="31"/>
      <c r="C367" s="21">
        <f>ROUND(13.413,4)</f>
        <v>13.413</v>
      </c>
      <c r="D367" s="21">
        <f>F367</f>
        <v>13.7242</v>
      </c>
      <c r="E367" s="21">
        <f>F367</f>
        <v>13.7242</v>
      </c>
      <c r="F367" s="21">
        <f>ROUND(13.7242,4)</f>
        <v>13.7242</v>
      </c>
      <c r="G367" s="19"/>
      <c r="H367" s="29"/>
    </row>
    <row r="368" spans="1:8" ht="12.75" customHeight="1">
      <c r="A368" s="31">
        <v>42996</v>
      </c>
      <c r="B368" s="31"/>
      <c r="C368" s="21">
        <f>ROUND(13.413,4)</f>
        <v>13.413</v>
      </c>
      <c r="D368" s="21">
        <f>F368</f>
        <v>13.9526</v>
      </c>
      <c r="E368" s="21">
        <f>F368</f>
        <v>13.9526</v>
      </c>
      <c r="F368" s="21">
        <f>ROUND(13.9526,4)</f>
        <v>13.9526</v>
      </c>
      <c r="G368" s="19"/>
      <c r="H368" s="29"/>
    </row>
    <row r="369" spans="1:8" ht="12.75" customHeight="1">
      <c r="A369" s="31">
        <v>43087</v>
      </c>
      <c r="B369" s="31"/>
      <c r="C369" s="21">
        <f>ROUND(13.413,4)</f>
        <v>13.413</v>
      </c>
      <c r="D369" s="21">
        <f>F369</f>
        <v>14.1824</v>
      </c>
      <c r="E369" s="21">
        <f>F369</f>
        <v>14.1824</v>
      </c>
      <c r="F369" s="21">
        <f>ROUND(14.1824,4)</f>
        <v>14.1824</v>
      </c>
      <c r="G369" s="19"/>
      <c r="H369" s="29"/>
    </row>
    <row r="370" spans="1:8" ht="12.75" customHeight="1">
      <c r="A370" s="31">
        <v>43178</v>
      </c>
      <c r="B370" s="31"/>
      <c r="C370" s="21">
        <f>ROUND(13.413,4)</f>
        <v>13.413</v>
      </c>
      <c r="D370" s="21">
        <f>F370</f>
        <v>14.4108</v>
      </c>
      <c r="E370" s="21">
        <f>F370</f>
        <v>14.4108</v>
      </c>
      <c r="F370" s="21">
        <f>ROUND(14.4108,4)</f>
        <v>14.4108</v>
      </c>
      <c r="G370" s="19"/>
      <c r="H370" s="29"/>
    </row>
    <row r="371" spans="1:8" ht="12.75" customHeight="1">
      <c r="A371" s="31" t="s">
        <v>83</v>
      </c>
      <c r="B371" s="31"/>
      <c r="C371" s="18"/>
      <c r="D371" s="18"/>
      <c r="E371" s="18"/>
      <c r="F371" s="18"/>
      <c r="G371" s="19"/>
      <c r="H371" s="29"/>
    </row>
    <row r="372" spans="1:8" ht="12.75" customHeight="1">
      <c r="A372" s="31">
        <v>42807</v>
      </c>
      <c r="B372" s="31"/>
      <c r="C372" s="21">
        <f aca="true" t="shared" si="15" ref="C372:C384">ROUND(13.413,4)</f>
        <v>13.413</v>
      </c>
      <c r="D372" s="21">
        <f aca="true" t="shared" si="16" ref="D372:D384">F372</f>
        <v>13.4799</v>
      </c>
      <c r="E372" s="21">
        <f aca="true" t="shared" si="17" ref="E372:E384">F372</f>
        <v>13.4799</v>
      </c>
      <c r="F372" s="21">
        <f>ROUND(13.4799,4)</f>
        <v>13.4799</v>
      </c>
      <c r="G372" s="19"/>
      <c r="H372" s="29"/>
    </row>
    <row r="373" spans="1:8" ht="12.75" customHeight="1">
      <c r="A373" s="31">
        <v>42905</v>
      </c>
      <c r="B373" s="31"/>
      <c r="C373" s="21">
        <f t="shared" si="15"/>
        <v>13.413</v>
      </c>
      <c r="D373" s="21">
        <f t="shared" si="16"/>
        <v>13.7242</v>
      </c>
      <c r="E373" s="21">
        <f t="shared" si="17"/>
        <v>13.7242</v>
      </c>
      <c r="F373" s="21">
        <f>ROUND(13.7242,4)</f>
        <v>13.7242</v>
      </c>
      <c r="G373" s="19"/>
      <c r="H373" s="29"/>
    </row>
    <row r="374" spans="1:8" ht="12.75" customHeight="1">
      <c r="A374" s="31">
        <v>42996</v>
      </c>
      <c r="B374" s="31"/>
      <c r="C374" s="21">
        <f t="shared" si="15"/>
        <v>13.413</v>
      </c>
      <c r="D374" s="21">
        <f t="shared" si="16"/>
        <v>13.9526</v>
      </c>
      <c r="E374" s="21">
        <f t="shared" si="17"/>
        <v>13.9526</v>
      </c>
      <c r="F374" s="21">
        <f>ROUND(13.9526,4)</f>
        <v>13.9526</v>
      </c>
      <c r="G374" s="19"/>
      <c r="H374" s="29"/>
    </row>
    <row r="375" spans="1:8" ht="12.75" customHeight="1">
      <c r="A375" s="31">
        <v>43087</v>
      </c>
      <c r="B375" s="31"/>
      <c r="C375" s="21">
        <f t="shared" si="15"/>
        <v>13.413</v>
      </c>
      <c r="D375" s="21">
        <f t="shared" si="16"/>
        <v>14.1824</v>
      </c>
      <c r="E375" s="21">
        <f t="shared" si="17"/>
        <v>14.1824</v>
      </c>
      <c r="F375" s="21">
        <f>ROUND(14.1824,4)</f>
        <v>14.1824</v>
      </c>
      <c r="G375" s="19"/>
      <c r="H375" s="29"/>
    </row>
    <row r="376" spans="1:8" ht="12.75" customHeight="1">
      <c r="A376" s="31">
        <v>43178</v>
      </c>
      <c r="B376" s="31"/>
      <c r="C376" s="21">
        <f t="shared" si="15"/>
        <v>13.413</v>
      </c>
      <c r="D376" s="21">
        <f t="shared" si="16"/>
        <v>14.4108</v>
      </c>
      <c r="E376" s="21">
        <f t="shared" si="17"/>
        <v>14.4108</v>
      </c>
      <c r="F376" s="21">
        <f>ROUND(14.4108,4)</f>
        <v>14.4108</v>
      </c>
      <c r="G376" s="19"/>
      <c r="H376" s="29"/>
    </row>
    <row r="377" spans="1:8" ht="12.75" customHeight="1">
      <c r="A377" s="31">
        <v>43269</v>
      </c>
      <c r="B377" s="31"/>
      <c r="C377" s="21">
        <f t="shared" si="15"/>
        <v>13.413</v>
      </c>
      <c r="D377" s="21">
        <f t="shared" si="16"/>
        <v>14.6388</v>
      </c>
      <c r="E377" s="21">
        <f t="shared" si="17"/>
        <v>14.6388</v>
      </c>
      <c r="F377" s="21">
        <f>ROUND(14.6388,4)</f>
        <v>14.6388</v>
      </c>
      <c r="G377" s="19"/>
      <c r="H377" s="29"/>
    </row>
    <row r="378" spans="1:8" ht="12.75" customHeight="1">
      <c r="A378" s="31">
        <v>43360</v>
      </c>
      <c r="B378" s="31"/>
      <c r="C378" s="21">
        <f t="shared" si="15"/>
        <v>13.413</v>
      </c>
      <c r="D378" s="21">
        <f t="shared" si="16"/>
        <v>14.8667</v>
      </c>
      <c r="E378" s="21">
        <f t="shared" si="17"/>
        <v>14.8667</v>
      </c>
      <c r="F378" s="21">
        <f>ROUND(14.8667,4)</f>
        <v>14.8667</v>
      </c>
      <c r="G378" s="19"/>
      <c r="H378" s="29"/>
    </row>
    <row r="379" spans="1:8" ht="12.75" customHeight="1">
      <c r="A379" s="31">
        <v>43448</v>
      </c>
      <c r="B379" s="31"/>
      <c r="C379" s="21">
        <f t="shared" si="15"/>
        <v>13.413</v>
      </c>
      <c r="D379" s="21">
        <f t="shared" si="16"/>
        <v>15.0872</v>
      </c>
      <c r="E379" s="21">
        <f t="shared" si="17"/>
        <v>15.0872</v>
      </c>
      <c r="F379" s="21">
        <f>ROUND(15.0872,4)</f>
        <v>15.0872</v>
      </c>
      <c r="G379" s="19"/>
      <c r="H379" s="29"/>
    </row>
    <row r="380" spans="1:8" ht="12.75" customHeight="1">
      <c r="A380" s="31">
        <v>43542</v>
      </c>
      <c r="B380" s="31"/>
      <c r="C380" s="21">
        <f t="shared" si="15"/>
        <v>13.413</v>
      </c>
      <c r="D380" s="21">
        <f t="shared" si="16"/>
        <v>15.3255</v>
      </c>
      <c r="E380" s="21">
        <f t="shared" si="17"/>
        <v>15.3255</v>
      </c>
      <c r="F380" s="21">
        <f>ROUND(15.3255,4)</f>
        <v>15.3255</v>
      </c>
      <c r="G380" s="19"/>
      <c r="H380" s="29"/>
    </row>
    <row r="381" spans="1:8" ht="12.75" customHeight="1">
      <c r="A381" s="31">
        <v>43630</v>
      </c>
      <c r="B381" s="31"/>
      <c r="C381" s="21">
        <f t="shared" si="15"/>
        <v>13.413</v>
      </c>
      <c r="D381" s="21">
        <f t="shared" si="16"/>
        <v>15.5534</v>
      </c>
      <c r="E381" s="21">
        <f t="shared" si="17"/>
        <v>15.5534</v>
      </c>
      <c r="F381" s="21">
        <f>ROUND(15.5534,4)</f>
        <v>15.5534</v>
      </c>
      <c r="G381" s="19"/>
      <c r="H381" s="29"/>
    </row>
    <row r="382" spans="1:8" ht="12.75" customHeight="1">
      <c r="A382" s="31">
        <v>43724</v>
      </c>
      <c r="B382" s="31"/>
      <c r="C382" s="21">
        <f t="shared" si="15"/>
        <v>13.413</v>
      </c>
      <c r="D382" s="21">
        <f t="shared" si="16"/>
        <v>15.7969</v>
      </c>
      <c r="E382" s="21">
        <f t="shared" si="17"/>
        <v>15.7969</v>
      </c>
      <c r="F382" s="21">
        <f>ROUND(15.7969,4)</f>
        <v>15.7969</v>
      </c>
      <c r="G382" s="19"/>
      <c r="H382" s="29"/>
    </row>
    <row r="383" spans="1:8" ht="12.75" customHeight="1">
      <c r="A383" s="31">
        <v>43812</v>
      </c>
      <c r="B383" s="31"/>
      <c r="C383" s="21">
        <f t="shared" si="15"/>
        <v>13.413</v>
      </c>
      <c r="D383" s="21">
        <f t="shared" si="16"/>
        <v>16.0249</v>
      </c>
      <c r="E383" s="21">
        <f t="shared" si="17"/>
        <v>16.0249</v>
      </c>
      <c r="F383" s="21">
        <f>ROUND(16.0249,4)</f>
        <v>16.0249</v>
      </c>
      <c r="G383" s="19"/>
      <c r="H383" s="29"/>
    </row>
    <row r="384" spans="1:8" ht="12.75" customHeight="1">
      <c r="A384" s="31">
        <v>43906</v>
      </c>
      <c r="B384" s="31"/>
      <c r="C384" s="21">
        <f t="shared" si="15"/>
        <v>13.413</v>
      </c>
      <c r="D384" s="21">
        <f t="shared" si="16"/>
        <v>16.2684</v>
      </c>
      <c r="E384" s="21">
        <f t="shared" si="17"/>
        <v>16.2684</v>
      </c>
      <c r="F384" s="21">
        <f>ROUND(16.2684,4)</f>
        <v>16.2684</v>
      </c>
      <c r="G384" s="19"/>
      <c r="H384" s="29"/>
    </row>
    <row r="385" spans="1:8" ht="12.75" customHeight="1">
      <c r="A385" s="31" t="s">
        <v>84</v>
      </c>
      <c r="B385" s="31"/>
      <c r="C385" s="18"/>
      <c r="D385" s="18"/>
      <c r="E385" s="18"/>
      <c r="F385" s="18"/>
      <c r="G385" s="19"/>
      <c r="H385" s="29"/>
    </row>
    <row r="386" spans="1:8" ht="12.75" customHeight="1">
      <c r="A386" s="31">
        <v>42807</v>
      </c>
      <c r="B386" s="31"/>
      <c r="C386" s="21">
        <f>ROUND(1.36449643947101,4)</f>
        <v>1.3645</v>
      </c>
      <c r="D386" s="21">
        <f>F386</f>
        <v>1.3512</v>
      </c>
      <c r="E386" s="21">
        <f>F386</f>
        <v>1.3512</v>
      </c>
      <c r="F386" s="21">
        <f>ROUND(1.3512,4)</f>
        <v>1.3512</v>
      </c>
      <c r="G386" s="19"/>
      <c r="H386" s="29"/>
    </row>
    <row r="387" spans="1:8" ht="12.75" customHeight="1">
      <c r="A387" s="31">
        <v>42905</v>
      </c>
      <c r="B387" s="31"/>
      <c r="C387" s="21">
        <f>ROUND(1.36449643947101,4)</f>
        <v>1.3645</v>
      </c>
      <c r="D387" s="21">
        <f>F387</f>
        <v>1.3107</v>
      </c>
      <c r="E387" s="21">
        <f>F387</f>
        <v>1.3107</v>
      </c>
      <c r="F387" s="21">
        <f>ROUND(1.3107,4)</f>
        <v>1.3107</v>
      </c>
      <c r="G387" s="19"/>
      <c r="H387" s="29"/>
    </row>
    <row r="388" spans="1:8" ht="12.75" customHeight="1">
      <c r="A388" s="31">
        <v>42996</v>
      </c>
      <c r="B388" s="31"/>
      <c r="C388" s="21">
        <f>ROUND(1.36449643947101,4)</f>
        <v>1.3645</v>
      </c>
      <c r="D388" s="21">
        <f>F388</f>
        <v>1.2766</v>
      </c>
      <c r="E388" s="21">
        <f>F388</f>
        <v>1.2766</v>
      </c>
      <c r="F388" s="21">
        <f>ROUND(1.2766,4)</f>
        <v>1.2766</v>
      </c>
      <c r="G388" s="19"/>
      <c r="H388" s="29"/>
    </row>
    <row r="389" spans="1:8" ht="12.75" customHeight="1">
      <c r="A389" s="31">
        <v>43087</v>
      </c>
      <c r="B389" s="31"/>
      <c r="C389" s="21">
        <f>ROUND(1.36449643947101,4)</f>
        <v>1.3645</v>
      </c>
      <c r="D389" s="21">
        <f>F389</f>
        <v>1.2498</v>
      </c>
      <c r="E389" s="21">
        <f>F389</f>
        <v>1.2498</v>
      </c>
      <c r="F389" s="21">
        <f>ROUND(1.2498,4)</f>
        <v>1.2498</v>
      </c>
      <c r="G389" s="19"/>
      <c r="H389" s="29"/>
    </row>
    <row r="390" spans="1:8" ht="12.75" customHeight="1">
      <c r="A390" s="31" t="s">
        <v>85</v>
      </c>
      <c r="B390" s="31"/>
      <c r="C390" s="18"/>
      <c r="D390" s="18"/>
      <c r="E390" s="18"/>
      <c r="F390" s="18"/>
      <c r="G390" s="19"/>
      <c r="H390" s="29"/>
    </row>
    <row r="391" spans="1:8" ht="12.75" customHeight="1">
      <c r="A391" s="31">
        <v>42859</v>
      </c>
      <c r="B391" s="31"/>
      <c r="C391" s="22">
        <f>ROUND(593.748,3)</f>
        <v>593.748</v>
      </c>
      <c r="D391" s="22">
        <f>F391</f>
        <v>604.167</v>
      </c>
      <c r="E391" s="22">
        <f>F391</f>
        <v>604.167</v>
      </c>
      <c r="F391" s="22">
        <f>ROUND(604.167,3)</f>
        <v>604.167</v>
      </c>
      <c r="G391" s="19"/>
      <c r="H391" s="29"/>
    </row>
    <row r="392" spans="1:8" ht="12.75" customHeight="1">
      <c r="A392" s="31">
        <v>42950</v>
      </c>
      <c r="B392" s="31"/>
      <c r="C392" s="22">
        <f>ROUND(593.748,3)</f>
        <v>593.748</v>
      </c>
      <c r="D392" s="22">
        <f>F392</f>
        <v>615.739</v>
      </c>
      <c r="E392" s="22">
        <f>F392</f>
        <v>615.739</v>
      </c>
      <c r="F392" s="22">
        <f>ROUND(615.739,3)</f>
        <v>615.739</v>
      </c>
      <c r="G392" s="19"/>
      <c r="H392" s="29"/>
    </row>
    <row r="393" spans="1:8" ht="12.75" customHeight="1">
      <c r="A393" s="31">
        <v>43041</v>
      </c>
      <c r="B393" s="31"/>
      <c r="C393" s="22">
        <f>ROUND(593.748,3)</f>
        <v>593.748</v>
      </c>
      <c r="D393" s="22">
        <f>F393</f>
        <v>627.971</v>
      </c>
      <c r="E393" s="22">
        <f>F393</f>
        <v>627.971</v>
      </c>
      <c r="F393" s="22">
        <f>ROUND(627.971,3)</f>
        <v>627.971</v>
      </c>
      <c r="G393" s="19"/>
      <c r="H393" s="29"/>
    </row>
    <row r="394" spans="1:8" ht="12.75" customHeight="1">
      <c r="A394" s="31">
        <v>43132</v>
      </c>
      <c r="B394" s="31"/>
      <c r="C394" s="22">
        <f>ROUND(593.748,3)</f>
        <v>593.748</v>
      </c>
      <c r="D394" s="22">
        <f>F394</f>
        <v>640.477</v>
      </c>
      <c r="E394" s="22">
        <f>F394</f>
        <v>640.477</v>
      </c>
      <c r="F394" s="22">
        <f>ROUND(640.477,3)</f>
        <v>640.477</v>
      </c>
      <c r="G394" s="19"/>
      <c r="H394" s="29"/>
    </row>
    <row r="395" spans="1:8" ht="12.75" customHeight="1">
      <c r="A395" s="31" t="s">
        <v>86</v>
      </c>
      <c r="B395" s="31"/>
      <c r="C395" s="18"/>
      <c r="D395" s="18"/>
      <c r="E395" s="18"/>
      <c r="F395" s="18"/>
      <c r="G395" s="19"/>
      <c r="H395" s="29"/>
    </row>
    <row r="396" spans="1:8" ht="12.75" customHeight="1">
      <c r="A396" s="31">
        <v>42859</v>
      </c>
      <c r="B396" s="31"/>
      <c r="C396" s="22">
        <f>ROUND(517.152,3)</f>
        <v>517.152</v>
      </c>
      <c r="D396" s="22">
        <f>F396</f>
        <v>526.227</v>
      </c>
      <c r="E396" s="22">
        <f>F396</f>
        <v>526.227</v>
      </c>
      <c r="F396" s="22">
        <f>ROUND(526.227,3)</f>
        <v>526.227</v>
      </c>
      <c r="G396" s="19"/>
      <c r="H396" s="29"/>
    </row>
    <row r="397" spans="1:8" ht="12.75" customHeight="1">
      <c r="A397" s="31">
        <v>42950</v>
      </c>
      <c r="B397" s="31"/>
      <c r="C397" s="22">
        <f>ROUND(517.152,3)</f>
        <v>517.152</v>
      </c>
      <c r="D397" s="22">
        <f>F397</f>
        <v>536.306</v>
      </c>
      <c r="E397" s="22">
        <f>F397</f>
        <v>536.306</v>
      </c>
      <c r="F397" s="22">
        <f>ROUND(536.306,3)</f>
        <v>536.306</v>
      </c>
      <c r="G397" s="19"/>
      <c r="H397" s="29"/>
    </row>
    <row r="398" spans="1:8" ht="12.75" customHeight="1">
      <c r="A398" s="31">
        <v>43041</v>
      </c>
      <c r="B398" s="31"/>
      <c r="C398" s="22">
        <f>ROUND(517.152,3)</f>
        <v>517.152</v>
      </c>
      <c r="D398" s="22">
        <f>F398</f>
        <v>546.96</v>
      </c>
      <c r="E398" s="22">
        <f>F398</f>
        <v>546.96</v>
      </c>
      <c r="F398" s="22">
        <f>ROUND(546.96,3)</f>
        <v>546.96</v>
      </c>
      <c r="G398" s="19"/>
      <c r="H398" s="29"/>
    </row>
    <row r="399" spans="1:8" ht="12.75" customHeight="1">
      <c r="A399" s="31">
        <v>43132</v>
      </c>
      <c r="B399" s="31"/>
      <c r="C399" s="22">
        <f>ROUND(517.152,3)</f>
        <v>517.152</v>
      </c>
      <c r="D399" s="22">
        <f>F399</f>
        <v>557.853</v>
      </c>
      <c r="E399" s="22">
        <f>F399</f>
        <v>557.853</v>
      </c>
      <c r="F399" s="22">
        <f>ROUND(557.853,3)</f>
        <v>557.853</v>
      </c>
      <c r="G399" s="19"/>
      <c r="H399" s="29"/>
    </row>
    <row r="400" spans="1:8" ht="12.75" customHeight="1">
      <c r="A400" s="31" t="s">
        <v>87</v>
      </c>
      <c r="B400" s="31"/>
      <c r="C400" s="18"/>
      <c r="D400" s="18"/>
      <c r="E400" s="18"/>
      <c r="F400" s="18"/>
      <c r="G400" s="19"/>
      <c r="H400" s="29"/>
    </row>
    <row r="401" spans="1:8" ht="12.75" customHeight="1">
      <c r="A401" s="31">
        <v>42859</v>
      </c>
      <c r="B401" s="31"/>
      <c r="C401" s="22">
        <f>ROUND(597.898,3)</f>
        <v>597.898</v>
      </c>
      <c r="D401" s="22">
        <f>F401</f>
        <v>608.39</v>
      </c>
      <c r="E401" s="22">
        <f>F401</f>
        <v>608.39</v>
      </c>
      <c r="F401" s="22">
        <f>ROUND(608.39,3)</f>
        <v>608.39</v>
      </c>
      <c r="G401" s="19"/>
      <c r="H401" s="29"/>
    </row>
    <row r="402" spans="1:8" ht="12.75" customHeight="1">
      <c r="A402" s="31">
        <v>42950</v>
      </c>
      <c r="B402" s="31"/>
      <c r="C402" s="22">
        <f>ROUND(597.898,3)</f>
        <v>597.898</v>
      </c>
      <c r="D402" s="22">
        <f>F402</f>
        <v>620.043</v>
      </c>
      <c r="E402" s="22">
        <f>F402</f>
        <v>620.043</v>
      </c>
      <c r="F402" s="22">
        <f>ROUND(620.043,3)</f>
        <v>620.043</v>
      </c>
      <c r="G402" s="19"/>
      <c r="H402" s="29"/>
    </row>
    <row r="403" spans="1:8" ht="12.75" customHeight="1">
      <c r="A403" s="31">
        <v>43041</v>
      </c>
      <c r="B403" s="31"/>
      <c r="C403" s="22">
        <f>ROUND(597.898,3)</f>
        <v>597.898</v>
      </c>
      <c r="D403" s="22">
        <f>F403</f>
        <v>632.36</v>
      </c>
      <c r="E403" s="22">
        <f>F403</f>
        <v>632.36</v>
      </c>
      <c r="F403" s="22">
        <f>ROUND(632.36,3)</f>
        <v>632.36</v>
      </c>
      <c r="G403" s="19"/>
      <c r="H403" s="29"/>
    </row>
    <row r="404" spans="1:8" ht="12.75" customHeight="1">
      <c r="A404" s="31">
        <v>43132</v>
      </c>
      <c r="B404" s="31"/>
      <c r="C404" s="22">
        <f>ROUND(597.898,3)</f>
        <v>597.898</v>
      </c>
      <c r="D404" s="22">
        <f>F404</f>
        <v>644.953</v>
      </c>
      <c r="E404" s="22">
        <f>F404</f>
        <v>644.953</v>
      </c>
      <c r="F404" s="22">
        <f>ROUND(644.953,3)</f>
        <v>644.953</v>
      </c>
      <c r="G404" s="19"/>
      <c r="H404" s="29"/>
    </row>
    <row r="405" spans="1:8" ht="12.75" customHeight="1">
      <c r="A405" s="31" t="s">
        <v>88</v>
      </c>
      <c r="B405" s="31"/>
      <c r="C405" s="18"/>
      <c r="D405" s="18"/>
      <c r="E405" s="18"/>
      <c r="F405" s="18"/>
      <c r="G405" s="19"/>
      <c r="H405" s="29"/>
    </row>
    <row r="406" spans="1:8" ht="12.75" customHeight="1">
      <c r="A406" s="31">
        <v>42859</v>
      </c>
      <c r="B406" s="31"/>
      <c r="C406" s="22">
        <f>ROUND(543.176,3)</f>
        <v>543.176</v>
      </c>
      <c r="D406" s="22">
        <f>F406</f>
        <v>552.708</v>
      </c>
      <c r="E406" s="22">
        <f>F406</f>
        <v>552.708</v>
      </c>
      <c r="F406" s="22">
        <f>ROUND(552.708,3)</f>
        <v>552.708</v>
      </c>
      <c r="G406" s="19"/>
      <c r="H406" s="29"/>
    </row>
    <row r="407" spans="1:8" ht="12.75" customHeight="1">
      <c r="A407" s="31">
        <v>42950</v>
      </c>
      <c r="B407" s="31"/>
      <c r="C407" s="22">
        <f>ROUND(543.176,3)</f>
        <v>543.176</v>
      </c>
      <c r="D407" s="22">
        <f>F407</f>
        <v>563.294</v>
      </c>
      <c r="E407" s="22">
        <f>F407</f>
        <v>563.294</v>
      </c>
      <c r="F407" s="22">
        <f>ROUND(563.294,3)</f>
        <v>563.294</v>
      </c>
      <c r="G407" s="19"/>
      <c r="H407" s="29"/>
    </row>
    <row r="408" spans="1:8" ht="12.75" customHeight="1">
      <c r="A408" s="31">
        <v>43041</v>
      </c>
      <c r="B408" s="31"/>
      <c r="C408" s="22">
        <f>ROUND(543.176,3)</f>
        <v>543.176</v>
      </c>
      <c r="D408" s="22">
        <f>F408</f>
        <v>574.484</v>
      </c>
      <c r="E408" s="22">
        <f>F408</f>
        <v>574.484</v>
      </c>
      <c r="F408" s="22">
        <f>ROUND(574.484,3)</f>
        <v>574.484</v>
      </c>
      <c r="G408" s="19"/>
      <c r="H408" s="29"/>
    </row>
    <row r="409" spans="1:8" ht="12.75" customHeight="1">
      <c r="A409" s="31">
        <v>43132</v>
      </c>
      <c r="B409" s="31"/>
      <c r="C409" s="22">
        <f>ROUND(543.176,3)</f>
        <v>543.176</v>
      </c>
      <c r="D409" s="22">
        <f>F409</f>
        <v>585.925</v>
      </c>
      <c r="E409" s="22">
        <f>F409</f>
        <v>585.925</v>
      </c>
      <c r="F409" s="22">
        <f>ROUND(585.925,3)</f>
        <v>585.925</v>
      </c>
      <c r="G409" s="19"/>
      <c r="H409" s="29"/>
    </row>
    <row r="410" spans="1:8" ht="12.75" customHeight="1">
      <c r="A410" s="31" t="s">
        <v>89</v>
      </c>
      <c r="B410" s="31"/>
      <c r="C410" s="18"/>
      <c r="D410" s="18"/>
      <c r="E410" s="18"/>
      <c r="F410" s="18"/>
      <c r="G410" s="19"/>
      <c r="H410" s="29"/>
    </row>
    <row r="411" spans="1:8" ht="12.75" customHeight="1">
      <c r="A411" s="31">
        <v>42859</v>
      </c>
      <c r="B411" s="31"/>
      <c r="C411" s="22">
        <f>ROUND(249.840620396094,3)</f>
        <v>249.841</v>
      </c>
      <c r="D411" s="22">
        <f>F411</f>
        <v>254.268</v>
      </c>
      <c r="E411" s="22">
        <f>F411</f>
        <v>254.268</v>
      </c>
      <c r="F411" s="22">
        <f>ROUND(254.268,3)</f>
        <v>254.268</v>
      </c>
      <c r="G411" s="19"/>
      <c r="H411" s="29"/>
    </row>
    <row r="412" spans="1:8" ht="12.75" customHeight="1">
      <c r="A412" s="31">
        <v>42950</v>
      </c>
      <c r="B412" s="31"/>
      <c r="C412" s="22">
        <f>ROUND(249.840620396094,3)</f>
        <v>249.841</v>
      </c>
      <c r="D412" s="22">
        <f>F412</f>
        <v>259.199</v>
      </c>
      <c r="E412" s="22">
        <f>F412</f>
        <v>259.199</v>
      </c>
      <c r="F412" s="22">
        <f>ROUND(259.199,3)</f>
        <v>259.199</v>
      </c>
      <c r="G412" s="19"/>
      <c r="H412" s="29"/>
    </row>
    <row r="413" spans="1:8" ht="12.75" customHeight="1">
      <c r="A413" s="31">
        <v>43041</v>
      </c>
      <c r="B413" s="31"/>
      <c r="C413" s="22">
        <f>ROUND(249.840620396094,3)</f>
        <v>249.841</v>
      </c>
      <c r="D413" s="22">
        <f>F413</f>
        <v>264.4</v>
      </c>
      <c r="E413" s="22">
        <f>F413</f>
        <v>264.4</v>
      </c>
      <c r="F413" s="22">
        <f>ROUND(264.4,3)</f>
        <v>264.4</v>
      </c>
      <c r="G413" s="19"/>
      <c r="H413" s="29"/>
    </row>
    <row r="414" spans="1:8" ht="12.75" customHeight="1">
      <c r="A414" s="31">
        <v>43132</v>
      </c>
      <c r="B414" s="31"/>
      <c r="C414" s="22">
        <f>ROUND(249.840620396094,3)</f>
        <v>249.841</v>
      </c>
      <c r="D414" s="22">
        <f>F414</f>
        <v>269.778</v>
      </c>
      <c r="E414" s="22">
        <f>F414</f>
        <v>269.778</v>
      </c>
      <c r="F414" s="22">
        <f>ROUND(269.778,3)</f>
        <v>269.778</v>
      </c>
      <c r="G414" s="19"/>
      <c r="H414" s="29"/>
    </row>
    <row r="415" spans="1:8" ht="12.75" customHeight="1">
      <c r="A415" s="31" t="s">
        <v>90</v>
      </c>
      <c r="B415" s="31"/>
      <c r="C415" s="18"/>
      <c r="D415" s="18"/>
      <c r="E415" s="18"/>
      <c r="F415" s="18"/>
      <c r="G415" s="19"/>
      <c r="H415" s="29"/>
    </row>
    <row r="416" spans="1:8" ht="12.75" customHeight="1">
      <c r="A416" s="31">
        <v>42859</v>
      </c>
      <c r="B416" s="31"/>
      <c r="C416" s="22">
        <f>ROUND(675.731,3)</f>
        <v>675.731</v>
      </c>
      <c r="D416" s="22">
        <f>F416</f>
        <v>687.469</v>
      </c>
      <c r="E416" s="22">
        <f>F416</f>
        <v>687.469</v>
      </c>
      <c r="F416" s="22">
        <f>ROUND(687.469,3)</f>
        <v>687.469</v>
      </c>
      <c r="G416" s="19"/>
      <c r="H416" s="29"/>
    </row>
    <row r="417" spans="1:8" ht="12.75" customHeight="1">
      <c r="A417" s="31">
        <v>42950</v>
      </c>
      <c r="B417" s="31"/>
      <c r="C417" s="22">
        <f>ROUND(675.731,3)</f>
        <v>675.731</v>
      </c>
      <c r="D417" s="22">
        <f>F417</f>
        <v>700.508</v>
      </c>
      <c r="E417" s="22">
        <f>F417</f>
        <v>700.508</v>
      </c>
      <c r="F417" s="22">
        <f>ROUND(700.508,3)</f>
        <v>700.508</v>
      </c>
      <c r="G417" s="19"/>
      <c r="H417" s="29"/>
    </row>
    <row r="418" spans="1:8" ht="12.75" customHeight="1">
      <c r="A418" s="31">
        <v>43041</v>
      </c>
      <c r="B418" s="31"/>
      <c r="C418" s="22">
        <f>ROUND(675.731,3)</f>
        <v>675.731</v>
      </c>
      <c r="D418" s="22">
        <f>F418</f>
        <v>714.636</v>
      </c>
      <c r="E418" s="22">
        <f>F418</f>
        <v>714.636</v>
      </c>
      <c r="F418" s="22">
        <f>ROUND(714.636,3)</f>
        <v>714.636</v>
      </c>
      <c r="G418" s="19"/>
      <c r="H418" s="29"/>
    </row>
    <row r="419" spans="1:8" ht="12.75" customHeight="1">
      <c r="A419" s="31">
        <v>43132</v>
      </c>
      <c r="B419" s="31"/>
      <c r="C419" s="22">
        <f>ROUND(675.731,3)</f>
        <v>675.731</v>
      </c>
      <c r="D419" s="22">
        <f>F419</f>
        <v>729.27</v>
      </c>
      <c r="E419" s="22">
        <f>F419</f>
        <v>729.27</v>
      </c>
      <c r="F419" s="22">
        <f>ROUND(729.27,3)</f>
        <v>729.27</v>
      </c>
      <c r="G419" s="19"/>
      <c r="H419" s="29"/>
    </row>
    <row r="420" spans="1:8" ht="12.75" customHeight="1">
      <c r="A420" s="31" t="s">
        <v>91</v>
      </c>
      <c r="B420" s="31"/>
      <c r="C420" s="18"/>
      <c r="D420" s="18"/>
      <c r="E420" s="18"/>
      <c r="F420" s="18"/>
      <c r="G420" s="19"/>
      <c r="H420" s="29"/>
    </row>
    <row r="421" spans="1:8" ht="12.75" customHeight="1">
      <c r="A421" s="31">
        <v>42807</v>
      </c>
      <c r="B421" s="31"/>
      <c r="C421" s="19">
        <f>ROUND(22550.79,2)</f>
        <v>22550.79</v>
      </c>
      <c r="D421" s="19">
        <f>F421</f>
        <v>22652.53</v>
      </c>
      <c r="E421" s="19">
        <f>F421</f>
        <v>22652.53</v>
      </c>
      <c r="F421" s="19">
        <f>ROUND(22652.53,2)</f>
        <v>22652.53</v>
      </c>
      <c r="G421" s="19"/>
      <c r="H421" s="29"/>
    </row>
    <row r="422" spans="1:8" ht="12.75" customHeight="1">
      <c r="A422" s="31">
        <v>42905</v>
      </c>
      <c r="B422" s="31"/>
      <c r="C422" s="19">
        <f>ROUND(22550.79,2)</f>
        <v>22550.79</v>
      </c>
      <c r="D422" s="19">
        <f>F422</f>
        <v>23061.54</v>
      </c>
      <c r="E422" s="19">
        <f>F422</f>
        <v>23061.54</v>
      </c>
      <c r="F422" s="19">
        <f>ROUND(23061.54,2)</f>
        <v>23061.54</v>
      </c>
      <c r="G422" s="19"/>
      <c r="H422" s="29"/>
    </row>
    <row r="423" spans="1:8" ht="12.75" customHeight="1">
      <c r="A423" s="31">
        <v>42996</v>
      </c>
      <c r="B423" s="31"/>
      <c r="C423" s="19">
        <f>ROUND(22550.79,2)</f>
        <v>22550.79</v>
      </c>
      <c r="D423" s="19">
        <f>F423</f>
        <v>23457.09</v>
      </c>
      <c r="E423" s="19">
        <f>F423</f>
        <v>23457.09</v>
      </c>
      <c r="F423" s="19">
        <f>ROUND(23457.09,2)</f>
        <v>23457.09</v>
      </c>
      <c r="G423" s="19"/>
      <c r="H423" s="29"/>
    </row>
    <row r="424" spans="1:8" ht="12.75" customHeight="1">
      <c r="A424" s="31" t="s">
        <v>92</v>
      </c>
      <c r="B424" s="31"/>
      <c r="C424" s="18"/>
      <c r="D424" s="18"/>
      <c r="E424" s="18"/>
      <c r="F424" s="18"/>
      <c r="G424" s="19"/>
      <c r="H424" s="29"/>
    </row>
    <row r="425" spans="1:8" ht="12.75" customHeight="1">
      <c r="A425" s="31">
        <v>42781</v>
      </c>
      <c r="B425" s="31"/>
      <c r="C425" s="22">
        <f aca="true" t="shared" si="18" ref="C425:C437">ROUND(7.35,3)</f>
        <v>7.35</v>
      </c>
      <c r="D425" s="22">
        <f>ROUND(7.4,3)</f>
        <v>7.4</v>
      </c>
      <c r="E425" s="22">
        <f>ROUND(7.3,3)</f>
        <v>7.3</v>
      </c>
      <c r="F425" s="22">
        <f>ROUND(7.35,3)</f>
        <v>7.35</v>
      </c>
      <c r="G425" s="19"/>
      <c r="H425" s="29"/>
    </row>
    <row r="426" spans="1:8" ht="12.75" customHeight="1">
      <c r="A426" s="31">
        <v>42809</v>
      </c>
      <c r="B426" s="31"/>
      <c r="C426" s="22">
        <f t="shared" si="18"/>
        <v>7.35</v>
      </c>
      <c r="D426" s="22">
        <f>ROUND(7.42,3)</f>
        <v>7.42</v>
      </c>
      <c r="E426" s="22">
        <f>ROUND(7.32,3)</f>
        <v>7.32</v>
      </c>
      <c r="F426" s="22">
        <f>ROUND(7.37,3)</f>
        <v>7.37</v>
      </c>
      <c r="G426" s="19"/>
      <c r="H426" s="29"/>
    </row>
    <row r="427" spans="1:8" ht="12.75" customHeight="1">
      <c r="A427" s="31">
        <v>42844</v>
      </c>
      <c r="B427" s="31"/>
      <c r="C427" s="22">
        <f t="shared" si="18"/>
        <v>7.35</v>
      </c>
      <c r="D427" s="22">
        <f>ROUND(7.45,3)</f>
        <v>7.45</v>
      </c>
      <c r="E427" s="22">
        <f>ROUND(7.35,3)</f>
        <v>7.35</v>
      </c>
      <c r="F427" s="22">
        <f>ROUND(7.4,3)</f>
        <v>7.4</v>
      </c>
      <c r="G427" s="19"/>
      <c r="H427" s="29"/>
    </row>
    <row r="428" spans="1:8" ht="12.75" customHeight="1">
      <c r="A428" s="31">
        <v>42872</v>
      </c>
      <c r="B428" s="31"/>
      <c r="C428" s="22">
        <f t="shared" si="18"/>
        <v>7.35</v>
      </c>
      <c r="D428" s="22">
        <f>ROUND(7.46,3)</f>
        <v>7.46</v>
      </c>
      <c r="E428" s="22">
        <f>ROUND(7.36,3)</f>
        <v>7.36</v>
      </c>
      <c r="F428" s="22">
        <f>ROUND(7.41,3)</f>
        <v>7.41</v>
      </c>
      <c r="G428" s="19"/>
      <c r="H428" s="29"/>
    </row>
    <row r="429" spans="1:8" ht="12.75" customHeight="1">
      <c r="A429" s="31">
        <v>42907</v>
      </c>
      <c r="B429" s="31"/>
      <c r="C429" s="22">
        <f t="shared" si="18"/>
        <v>7.35</v>
      </c>
      <c r="D429" s="22">
        <f>ROUND(7.47,3)</f>
        <v>7.47</v>
      </c>
      <c r="E429" s="22">
        <f>ROUND(7.37,3)</f>
        <v>7.37</v>
      </c>
      <c r="F429" s="22">
        <f>ROUND(7.42,3)</f>
        <v>7.42</v>
      </c>
      <c r="G429" s="19"/>
      <c r="H429" s="29"/>
    </row>
    <row r="430" spans="1:8" ht="12.75" customHeight="1">
      <c r="A430" s="31">
        <v>42935</v>
      </c>
      <c r="B430" s="31"/>
      <c r="C430" s="22">
        <f t="shared" si="18"/>
        <v>7.35</v>
      </c>
      <c r="D430" s="22">
        <f>ROUND(7.48,3)</f>
        <v>7.48</v>
      </c>
      <c r="E430" s="22">
        <f>ROUND(7.38,3)</f>
        <v>7.38</v>
      </c>
      <c r="F430" s="22">
        <f>ROUND(7.43,3)</f>
        <v>7.43</v>
      </c>
      <c r="G430" s="19"/>
      <c r="H430" s="29"/>
    </row>
    <row r="431" spans="1:8" ht="12.75" customHeight="1">
      <c r="A431" s="31">
        <v>42998</v>
      </c>
      <c r="B431" s="31"/>
      <c r="C431" s="22">
        <f t="shared" si="18"/>
        <v>7.35</v>
      </c>
      <c r="D431" s="22">
        <f>ROUND(7.49,3)</f>
        <v>7.49</v>
      </c>
      <c r="E431" s="22">
        <f>ROUND(7.39,3)</f>
        <v>7.39</v>
      </c>
      <c r="F431" s="22">
        <f>ROUND(7.44,3)</f>
        <v>7.44</v>
      </c>
      <c r="G431" s="19"/>
      <c r="H431" s="29"/>
    </row>
    <row r="432" spans="1:8" ht="12.75" customHeight="1">
      <c r="A432" s="31">
        <v>43089</v>
      </c>
      <c r="B432" s="31"/>
      <c r="C432" s="22">
        <f t="shared" si="18"/>
        <v>7.35</v>
      </c>
      <c r="D432" s="22">
        <f>ROUND(7.5,3)</f>
        <v>7.5</v>
      </c>
      <c r="E432" s="22">
        <f>ROUND(7.4,3)</f>
        <v>7.4</v>
      </c>
      <c r="F432" s="22">
        <f>ROUND(7.45,3)</f>
        <v>7.45</v>
      </c>
      <c r="G432" s="19"/>
      <c r="H432" s="29"/>
    </row>
    <row r="433" spans="1:8" ht="12.75" customHeight="1">
      <c r="A433" s="31">
        <v>43179</v>
      </c>
      <c r="B433" s="31"/>
      <c r="C433" s="22">
        <f t="shared" si="18"/>
        <v>7.35</v>
      </c>
      <c r="D433" s="22">
        <f>ROUND(7.51,3)</f>
        <v>7.51</v>
      </c>
      <c r="E433" s="22">
        <f>ROUND(7.41,3)</f>
        <v>7.41</v>
      </c>
      <c r="F433" s="22">
        <f>ROUND(7.46,3)</f>
        <v>7.46</v>
      </c>
      <c r="G433" s="19"/>
      <c r="H433" s="29"/>
    </row>
    <row r="434" spans="1:8" ht="12.75" customHeight="1">
      <c r="A434" s="31">
        <v>43269</v>
      </c>
      <c r="B434" s="31"/>
      <c r="C434" s="22">
        <f t="shared" si="18"/>
        <v>7.35</v>
      </c>
      <c r="D434" s="22">
        <f>ROUND(7.51,3)</f>
        <v>7.51</v>
      </c>
      <c r="E434" s="22">
        <f>ROUND(7.41,3)</f>
        <v>7.41</v>
      </c>
      <c r="F434" s="22">
        <f>ROUND(7.46,3)</f>
        <v>7.46</v>
      </c>
      <c r="G434" s="19"/>
      <c r="H434" s="29"/>
    </row>
    <row r="435" spans="1:8" ht="12.75" customHeight="1">
      <c r="A435" s="31">
        <v>43271</v>
      </c>
      <c r="B435" s="31"/>
      <c r="C435" s="22">
        <f t="shared" si="18"/>
        <v>7.35</v>
      </c>
      <c r="D435" s="22">
        <f>ROUND(7.52,3)</f>
        <v>7.52</v>
      </c>
      <c r="E435" s="22">
        <f>ROUND(7.42,3)</f>
        <v>7.42</v>
      </c>
      <c r="F435" s="22">
        <f>ROUND(7.47,3)</f>
        <v>7.47</v>
      </c>
      <c r="G435" s="19"/>
      <c r="H435" s="29"/>
    </row>
    <row r="436" spans="1:8" ht="12.75" customHeight="1">
      <c r="A436" s="31">
        <v>43362</v>
      </c>
      <c r="B436" s="31"/>
      <c r="C436" s="22">
        <f t="shared" si="18"/>
        <v>7.35</v>
      </c>
      <c r="D436" s="22">
        <f>ROUND(7.53,3)</f>
        <v>7.53</v>
      </c>
      <c r="E436" s="22">
        <f>ROUND(7.43,3)</f>
        <v>7.43</v>
      </c>
      <c r="F436" s="22">
        <f>ROUND(7.48,3)</f>
        <v>7.48</v>
      </c>
      <c r="G436" s="19"/>
      <c r="H436" s="29"/>
    </row>
    <row r="437" spans="1:8" ht="12.75" customHeight="1">
      <c r="A437" s="31">
        <v>43453</v>
      </c>
      <c r="B437" s="31"/>
      <c r="C437" s="22">
        <f t="shared" si="18"/>
        <v>7.35</v>
      </c>
      <c r="D437" s="22">
        <f>ROUND(7.57,3)</f>
        <v>7.57</v>
      </c>
      <c r="E437" s="22">
        <f>ROUND(7.47,3)</f>
        <v>7.47</v>
      </c>
      <c r="F437" s="22">
        <f>ROUND(7.52,3)</f>
        <v>7.52</v>
      </c>
      <c r="G437" s="19"/>
      <c r="H437" s="29"/>
    </row>
    <row r="438" spans="1:8" ht="12.75" customHeight="1">
      <c r="A438" s="31" t="s">
        <v>93</v>
      </c>
      <c r="B438" s="31"/>
      <c r="C438" s="18"/>
      <c r="D438" s="18"/>
      <c r="E438" s="18"/>
      <c r="F438" s="18"/>
      <c r="G438" s="19"/>
      <c r="H438" s="29"/>
    </row>
    <row r="439" spans="1:8" ht="12.75" customHeight="1">
      <c r="A439" s="31">
        <v>42859</v>
      </c>
      <c r="B439" s="31"/>
      <c r="C439" s="22">
        <f>ROUND(541.003,3)</f>
        <v>541.003</v>
      </c>
      <c r="D439" s="22">
        <f>F439</f>
        <v>550.496</v>
      </c>
      <c r="E439" s="22">
        <f>F439</f>
        <v>550.496</v>
      </c>
      <c r="F439" s="22">
        <f>ROUND(550.496,3)</f>
        <v>550.496</v>
      </c>
      <c r="G439" s="19"/>
      <c r="H439" s="29"/>
    </row>
    <row r="440" spans="1:8" ht="12.75" customHeight="1">
      <c r="A440" s="31">
        <v>42950</v>
      </c>
      <c r="B440" s="31"/>
      <c r="C440" s="22">
        <f>ROUND(541.003,3)</f>
        <v>541.003</v>
      </c>
      <c r="D440" s="22">
        <f>F440</f>
        <v>561.04</v>
      </c>
      <c r="E440" s="22">
        <f>F440</f>
        <v>561.04</v>
      </c>
      <c r="F440" s="22">
        <f>ROUND(561.04,3)</f>
        <v>561.04</v>
      </c>
      <c r="G440" s="19"/>
      <c r="H440" s="29"/>
    </row>
    <row r="441" spans="1:8" ht="12.75" customHeight="1">
      <c r="A441" s="31">
        <v>43041</v>
      </c>
      <c r="B441" s="31"/>
      <c r="C441" s="22">
        <f>ROUND(541.003,3)</f>
        <v>541.003</v>
      </c>
      <c r="D441" s="22">
        <f>F441</f>
        <v>572.185</v>
      </c>
      <c r="E441" s="22">
        <f>F441</f>
        <v>572.185</v>
      </c>
      <c r="F441" s="22">
        <f>ROUND(572.185,3)</f>
        <v>572.185</v>
      </c>
      <c r="G441" s="19"/>
      <c r="H441" s="29"/>
    </row>
    <row r="442" spans="1:8" ht="12.75" customHeight="1">
      <c r="A442" s="31">
        <v>43132</v>
      </c>
      <c r="B442" s="31"/>
      <c r="C442" s="22">
        <f>ROUND(541.003,3)</f>
        <v>541.003</v>
      </c>
      <c r="D442" s="22">
        <f>F442</f>
        <v>583.581</v>
      </c>
      <c r="E442" s="22">
        <f>F442</f>
        <v>583.581</v>
      </c>
      <c r="F442" s="22">
        <f>ROUND(583.581,3)</f>
        <v>583.581</v>
      </c>
      <c r="G442" s="19"/>
      <c r="H442" s="29"/>
    </row>
    <row r="443" spans="1:8" ht="12.75" customHeight="1">
      <c r="A443" s="31" t="s">
        <v>94</v>
      </c>
      <c r="B443" s="31"/>
      <c r="C443" s="18"/>
      <c r="D443" s="18"/>
      <c r="E443" s="18"/>
      <c r="F443" s="18"/>
      <c r="G443" s="19"/>
      <c r="H443" s="29"/>
    </row>
    <row r="444" spans="1:8" ht="12.75" customHeight="1">
      <c r="A444" s="31">
        <v>42810</v>
      </c>
      <c r="B444" s="31"/>
      <c r="C444" s="20">
        <f>ROUND(99.9339489166068,5)</f>
        <v>99.93395</v>
      </c>
      <c r="D444" s="20">
        <f>F444</f>
        <v>100.00292</v>
      </c>
      <c r="E444" s="20">
        <f>F444</f>
        <v>100.00292</v>
      </c>
      <c r="F444" s="20">
        <f>ROUND(100.002919252804,5)</f>
        <v>100.00292</v>
      </c>
      <c r="G444" s="19"/>
      <c r="H444" s="29"/>
    </row>
    <row r="445" spans="1:8" ht="12.75" customHeight="1">
      <c r="A445" s="31" t="s">
        <v>95</v>
      </c>
      <c r="B445" s="31"/>
      <c r="C445" s="18"/>
      <c r="D445" s="18"/>
      <c r="E445" s="18"/>
      <c r="F445" s="18"/>
      <c r="G445" s="19"/>
      <c r="H445" s="29"/>
    </row>
    <row r="446" spans="1:8" ht="12.75" customHeight="1">
      <c r="A446" s="31">
        <v>42901</v>
      </c>
      <c r="B446" s="31"/>
      <c r="C446" s="20">
        <f>ROUND(99.9339489166068,5)</f>
        <v>99.93395</v>
      </c>
      <c r="D446" s="20">
        <f>F446</f>
        <v>99.61235</v>
      </c>
      <c r="E446" s="20">
        <f>F446</f>
        <v>99.61235</v>
      </c>
      <c r="F446" s="20">
        <f>ROUND(99.6123531889759,5)</f>
        <v>99.61235</v>
      </c>
      <c r="G446" s="19"/>
      <c r="H446" s="29"/>
    </row>
    <row r="447" spans="1:8" ht="12.75" customHeight="1">
      <c r="A447" s="31" t="s">
        <v>96</v>
      </c>
      <c r="B447" s="31"/>
      <c r="C447" s="18"/>
      <c r="D447" s="18"/>
      <c r="E447" s="18"/>
      <c r="F447" s="18"/>
      <c r="G447" s="19"/>
      <c r="H447" s="29"/>
    </row>
    <row r="448" spans="1:8" ht="12.75" customHeight="1">
      <c r="A448" s="31">
        <v>42999</v>
      </c>
      <c r="B448" s="31"/>
      <c r="C448" s="20">
        <f>ROUND(99.9339489166068,5)</f>
        <v>99.93395</v>
      </c>
      <c r="D448" s="20">
        <f>F448</f>
        <v>99.64228</v>
      </c>
      <c r="E448" s="20">
        <f>F448</f>
        <v>99.64228</v>
      </c>
      <c r="F448" s="20">
        <f>ROUND(99.6422759641399,5)</f>
        <v>99.64228</v>
      </c>
      <c r="G448" s="19"/>
      <c r="H448" s="29"/>
    </row>
    <row r="449" spans="1:8" ht="12.75" customHeight="1">
      <c r="A449" s="31" t="s">
        <v>97</v>
      </c>
      <c r="B449" s="31"/>
      <c r="C449" s="18"/>
      <c r="D449" s="18"/>
      <c r="E449" s="18"/>
      <c r="F449" s="18"/>
      <c r="G449" s="19"/>
      <c r="H449" s="29"/>
    </row>
    <row r="450" spans="1:8" ht="12.75" customHeight="1">
      <c r="A450" s="31">
        <v>43090</v>
      </c>
      <c r="B450" s="31"/>
      <c r="C450" s="20">
        <f>ROUND(99.9339489166068,5)</f>
        <v>99.93395</v>
      </c>
      <c r="D450" s="20">
        <f>F450</f>
        <v>99.89789</v>
      </c>
      <c r="E450" s="20">
        <f>F450</f>
        <v>99.89789</v>
      </c>
      <c r="F450" s="20">
        <f>ROUND(99.8978912858614,5)</f>
        <v>99.89789</v>
      </c>
      <c r="G450" s="19"/>
      <c r="H450" s="29"/>
    </row>
    <row r="451" spans="1:8" ht="12.75" customHeight="1">
      <c r="A451" s="31" t="s">
        <v>98</v>
      </c>
      <c r="B451" s="31"/>
      <c r="C451" s="18"/>
      <c r="D451" s="18"/>
      <c r="E451" s="18"/>
      <c r="F451" s="18"/>
      <c r="G451" s="19"/>
      <c r="H451" s="29"/>
    </row>
    <row r="452" spans="1:8" ht="12.75" customHeight="1">
      <c r="A452" s="31">
        <v>43174</v>
      </c>
      <c r="B452" s="31"/>
      <c r="C452" s="20">
        <f>ROUND(99.9339489166068,5)</f>
        <v>99.93395</v>
      </c>
      <c r="D452" s="20">
        <f>F452</f>
        <v>99.93395</v>
      </c>
      <c r="E452" s="20">
        <f>F452</f>
        <v>99.93395</v>
      </c>
      <c r="F452" s="20">
        <f>ROUND(99.9339489166068,5)</f>
        <v>99.93395</v>
      </c>
      <c r="G452" s="19"/>
      <c r="H452" s="29"/>
    </row>
    <row r="453" spans="1:8" ht="12.75" customHeight="1">
      <c r="A453" s="31" t="s">
        <v>99</v>
      </c>
      <c r="B453" s="31"/>
      <c r="C453" s="18"/>
      <c r="D453" s="18"/>
      <c r="E453" s="18"/>
      <c r="F453" s="18"/>
      <c r="G453" s="19"/>
      <c r="H453" s="29"/>
    </row>
    <row r="454" spans="1:8" ht="12.75" customHeight="1">
      <c r="A454" s="31">
        <v>43087</v>
      </c>
      <c r="B454" s="31"/>
      <c r="C454" s="20">
        <f>ROUND(99.9232881757667,5)</f>
        <v>99.92329</v>
      </c>
      <c r="D454" s="20">
        <f>F454</f>
        <v>99.92582</v>
      </c>
      <c r="E454" s="20">
        <f>F454</f>
        <v>99.92582</v>
      </c>
      <c r="F454" s="20">
        <f>ROUND(99.9258233532533,5)</f>
        <v>99.92582</v>
      </c>
      <c r="G454" s="19"/>
      <c r="H454" s="29"/>
    </row>
    <row r="455" spans="1:8" ht="12.75" customHeight="1">
      <c r="A455" s="31" t="s">
        <v>100</v>
      </c>
      <c r="B455" s="31"/>
      <c r="C455" s="18"/>
      <c r="D455" s="18"/>
      <c r="E455" s="18"/>
      <c r="F455" s="18"/>
      <c r="G455" s="19"/>
      <c r="H455" s="29"/>
    </row>
    <row r="456" spans="1:8" ht="12.75" customHeight="1">
      <c r="A456" s="31">
        <v>43175</v>
      </c>
      <c r="B456" s="31"/>
      <c r="C456" s="20">
        <f>ROUND(99.9232881757667,5)</f>
        <v>99.92329</v>
      </c>
      <c r="D456" s="20">
        <f>F456</f>
        <v>99.2171</v>
      </c>
      <c r="E456" s="20">
        <f>F456</f>
        <v>99.2171</v>
      </c>
      <c r="F456" s="20">
        <f>ROUND(99.2170951861038,5)</f>
        <v>99.2171</v>
      </c>
      <c r="G456" s="19"/>
      <c r="H456" s="29"/>
    </row>
    <row r="457" spans="1:8" ht="12.75" customHeight="1">
      <c r="A457" s="31" t="s">
        <v>101</v>
      </c>
      <c r="B457" s="31"/>
      <c r="C457" s="18"/>
      <c r="D457" s="18"/>
      <c r="E457" s="18"/>
      <c r="F457" s="18"/>
      <c r="G457" s="19"/>
      <c r="H457" s="29"/>
    </row>
    <row r="458" spans="1:8" ht="12.75" customHeight="1">
      <c r="A458" s="31">
        <v>43266</v>
      </c>
      <c r="B458" s="31"/>
      <c r="C458" s="20">
        <f>ROUND(99.9232881757667,5)</f>
        <v>99.92329</v>
      </c>
      <c r="D458" s="20">
        <f>F458</f>
        <v>98.87323</v>
      </c>
      <c r="E458" s="20">
        <f>F458</f>
        <v>98.87323</v>
      </c>
      <c r="F458" s="20">
        <f>ROUND(98.8732299107843,5)</f>
        <v>98.87323</v>
      </c>
      <c r="G458" s="19"/>
      <c r="H458" s="29"/>
    </row>
    <row r="459" spans="1:8" ht="12.75" customHeight="1">
      <c r="A459" s="31" t="s">
        <v>102</v>
      </c>
      <c r="B459" s="31"/>
      <c r="C459" s="18"/>
      <c r="D459" s="18"/>
      <c r="E459" s="18"/>
      <c r="F459" s="18"/>
      <c r="G459" s="19"/>
      <c r="H459" s="29"/>
    </row>
    <row r="460" spans="1:8" ht="12.75" customHeight="1">
      <c r="A460" s="31">
        <v>43364</v>
      </c>
      <c r="B460" s="31"/>
      <c r="C460" s="20">
        <f>ROUND(99.9232881757667,5)</f>
        <v>99.92329</v>
      </c>
      <c r="D460" s="20">
        <f>F460</f>
        <v>98.92816</v>
      </c>
      <c r="E460" s="20">
        <f>F460</f>
        <v>98.92816</v>
      </c>
      <c r="F460" s="20">
        <f>ROUND(98.9281573523275,5)</f>
        <v>98.92816</v>
      </c>
      <c r="G460" s="19"/>
      <c r="H460" s="29"/>
    </row>
    <row r="461" spans="1:8" ht="12.75" customHeight="1">
      <c r="A461" s="31" t="s">
        <v>103</v>
      </c>
      <c r="B461" s="31"/>
      <c r="C461" s="18"/>
      <c r="D461" s="18"/>
      <c r="E461" s="18"/>
      <c r="F461" s="18"/>
      <c r="G461" s="19"/>
      <c r="H461" s="29"/>
    </row>
    <row r="462" spans="1:8" ht="12.75" customHeight="1">
      <c r="A462" s="31">
        <v>43455</v>
      </c>
      <c r="B462" s="31"/>
      <c r="C462" s="19">
        <f>ROUND(99.9232881757667,2)</f>
        <v>99.92</v>
      </c>
      <c r="D462" s="19">
        <f>F462</f>
        <v>99.42</v>
      </c>
      <c r="E462" s="19">
        <f>F462</f>
        <v>99.42</v>
      </c>
      <c r="F462" s="19">
        <f>ROUND(99.4226766391398,2)</f>
        <v>99.42</v>
      </c>
      <c r="G462" s="19"/>
      <c r="H462" s="29"/>
    </row>
    <row r="463" spans="1:8" ht="12.75" customHeight="1">
      <c r="A463" s="31" t="s">
        <v>104</v>
      </c>
      <c r="B463" s="31"/>
      <c r="C463" s="18"/>
      <c r="D463" s="18"/>
      <c r="E463" s="18"/>
      <c r="F463" s="18"/>
      <c r="G463" s="19"/>
      <c r="H463" s="29"/>
    </row>
    <row r="464" spans="1:8" ht="12.75" customHeight="1">
      <c r="A464" s="31">
        <v>43539</v>
      </c>
      <c r="B464" s="31"/>
      <c r="C464" s="20">
        <f>ROUND(99.9232881757667,5)</f>
        <v>99.92329</v>
      </c>
      <c r="D464" s="20">
        <f>F464</f>
        <v>99.92329</v>
      </c>
      <c r="E464" s="20">
        <f>F464</f>
        <v>99.92329</v>
      </c>
      <c r="F464" s="20">
        <f>ROUND(99.9232881757667,5)</f>
        <v>99.92329</v>
      </c>
      <c r="G464" s="19"/>
      <c r="H464" s="29"/>
    </row>
    <row r="465" spans="1:8" ht="12.75" customHeight="1">
      <c r="A465" s="31" t="s">
        <v>105</v>
      </c>
      <c r="B465" s="31"/>
      <c r="C465" s="18"/>
      <c r="D465" s="18"/>
      <c r="E465" s="18"/>
      <c r="F465" s="18"/>
      <c r="G465" s="19"/>
      <c r="H465" s="29"/>
    </row>
    <row r="466" spans="1:8" ht="12.75" customHeight="1">
      <c r="A466" s="31">
        <v>44182</v>
      </c>
      <c r="B466" s="31"/>
      <c r="C466" s="20">
        <f>ROUND(98.989034121243,5)</f>
        <v>98.98903</v>
      </c>
      <c r="D466" s="20">
        <f>F466</f>
        <v>97.67961</v>
      </c>
      <c r="E466" s="20">
        <f>F466</f>
        <v>97.67961</v>
      </c>
      <c r="F466" s="20">
        <f>ROUND(97.6796089092905,5)</f>
        <v>97.67961</v>
      </c>
      <c r="G466" s="19"/>
      <c r="H466" s="29"/>
    </row>
    <row r="467" spans="1:8" ht="12.75" customHeight="1">
      <c r="A467" s="31" t="s">
        <v>106</v>
      </c>
      <c r="B467" s="31"/>
      <c r="C467" s="18"/>
      <c r="D467" s="18"/>
      <c r="E467" s="18"/>
      <c r="F467" s="18"/>
      <c r="G467" s="19"/>
      <c r="H467" s="29"/>
    </row>
    <row r="468" spans="1:8" ht="12.75" customHeight="1">
      <c r="A468" s="31">
        <v>44271</v>
      </c>
      <c r="B468" s="31"/>
      <c r="C468" s="20">
        <f>ROUND(98.989034121243,5)</f>
        <v>98.98903</v>
      </c>
      <c r="D468" s="20">
        <f>F468</f>
        <v>96.99652</v>
      </c>
      <c r="E468" s="20">
        <f>F468</f>
        <v>96.99652</v>
      </c>
      <c r="F468" s="20">
        <f>ROUND(96.9965196785819,5)</f>
        <v>96.99652</v>
      </c>
      <c r="G468" s="19"/>
      <c r="H468" s="29"/>
    </row>
    <row r="469" spans="1:8" ht="12.75" customHeight="1">
      <c r="A469" s="31" t="s">
        <v>107</v>
      </c>
      <c r="B469" s="31"/>
      <c r="C469" s="18"/>
      <c r="D469" s="18"/>
      <c r="E469" s="18"/>
      <c r="F469" s="18"/>
      <c r="G469" s="19"/>
      <c r="H469" s="29"/>
    </row>
    <row r="470" spans="1:8" ht="12.75" customHeight="1">
      <c r="A470" s="31">
        <v>44362</v>
      </c>
      <c r="B470" s="31"/>
      <c r="C470" s="20">
        <f>ROUND(98.989034121243,5)</f>
        <v>98.98903</v>
      </c>
      <c r="D470" s="20">
        <f>F470</f>
        <v>96.27652</v>
      </c>
      <c r="E470" s="20">
        <f>F470</f>
        <v>96.27652</v>
      </c>
      <c r="F470" s="20">
        <f>ROUND(96.2765242632565,5)</f>
        <v>96.27652</v>
      </c>
      <c r="G470" s="19"/>
      <c r="H470" s="29"/>
    </row>
    <row r="471" spans="1:8" ht="12.75" customHeight="1">
      <c r="A471" s="31" t="s">
        <v>108</v>
      </c>
      <c r="B471" s="31"/>
      <c r="C471" s="18"/>
      <c r="D471" s="18"/>
      <c r="E471" s="18"/>
      <c r="F471" s="18"/>
      <c r="G471" s="19"/>
      <c r="H471" s="29"/>
    </row>
    <row r="472" spans="1:8" ht="12.75" customHeight="1">
      <c r="A472" s="31">
        <v>44460</v>
      </c>
      <c r="B472" s="31"/>
      <c r="C472" s="20">
        <f>ROUND(98.989034121243,5)</f>
        <v>98.98903</v>
      </c>
      <c r="D472" s="20">
        <f>F472</f>
        <v>96.53584</v>
      </c>
      <c r="E472" s="20">
        <f>F472</f>
        <v>96.53584</v>
      </c>
      <c r="F472" s="20">
        <f>ROUND(96.5358368346756,5)</f>
        <v>96.53584</v>
      </c>
      <c r="G472" s="19"/>
      <c r="H472" s="29"/>
    </row>
    <row r="473" spans="1:8" ht="12.75" customHeight="1">
      <c r="A473" s="31" t="s">
        <v>109</v>
      </c>
      <c r="B473" s="31"/>
      <c r="C473" s="18"/>
      <c r="D473" s="18"/>
      <c r="E473" s="18"/>
      <c r="F473" s="18"/>
      <c r="G473" s="19"/>
      <c r="H473" s="29"/>
    </row>
    <row r="474" spans="1:8" ht="12.75" customHeight="1">
      <c r="A474" s="31">
        <v>44551</v>
      </c>
      <c r="B474" s="31"/>
      <c r="C474" s="20">
        <f>ROUND(98.989034121243,5)</f>
        <v>98.98903</v>
      </c>
      <c r="D474" s="20">
        <f>F474</f>
        <v>98.78934</v>
      </c>
      <c r="E474" s="20">
        <f>F474</f>
        <v>98.78934</v>
      </c>
      <c r="F474" s="20">
        <f>ROUND(98.7893436334077,5)</f>
        <v>98.78934</v>
      </c>
      <c r="G474" s="19"/>
      <c r="H474" s="29"/>
    </row>
    <row r="475" spans="1:8" ht="12.75" customHeight="1">
      <c r="A475" s="31" t="s">
        <v>110</v>
      </c>
      <c r="B475" s="31"/>
      <c r="C475" s="18"/>
      <c r="D475" s="18"/>
      <c r="E475" s="18"/>
      <c r="F475" s="18"/>
      <c r="G475" s="19"/>
      <c r="H475" s="29"/>
    </row>
    <row r="476" spans="1:8" ht="12.75" customHeight="1">
      <c r="A476" s="31">
        <v>44635</v>
      </c>
      <c r="B476" s="31"/>
      <c r="C476" s="20">
        <f>ROUND(98.989034121243,5)</f>
        <v>98.98903</v>
      </c>
      <c r="D476" s="20">
        <f>F476</f>
        <v>98.98903</v>
      </c>
      <c r="E476" s="20">
        <f>F476</f>
        <v>98.98903</v>
      </c>
      <c r="F476" s="20">
        <f>ROUND(98.989034121243,5)</f>
        <v>98.98903</v>
      </c>
      <c r="G476" s="19"/>
      <c r="H476" s="29"/>
    </row>
    <row r="477" spans="1:8" ht="12.75" customHeight="1">
      <c r="A477" s="31" t="s">
        <v>111</v>
      </c>
      <c r="B477" s="31"/>
      <c r="C477" s="18"/>
      <c r="D477" s="18"/>
      <c r="E477" s="18"/>
      <c r="F477" s="18"/>
      <c r="G477" s="19"/>
      <c r="H477" s="29"/>
    </row>
    <row r="478" spans="1:8" ht="12.75" customHeight="1">
      <c r="A478" s="31">
        <v>46008</v>
      </c>
      <c r="B478" s="31"/>
      <c r="C478" s="20">
        <f>ROUND(98.0388307336436,5)</f>
        <v>98.03883</v>
      </c>
      <c r="D478" s="20">
        <f>F478</f>
        <v>97.68096</v>
      </c>
      <c r="E478" s="20">
        <f>F478</f>
        <v>97.68096</v>
      </c>
      <c r="F478" s="20">
        <f>ROUND(97.6809626552368,5)</f>
        <v>97.68096</v>
      </c>
      <c r="G478" s="19"/>
      <c r="H478" s="29"/>
    </row>
    <row r="479" spans="1:8" ht="12.75" customHeight="1">
      <c r="A479" s="31" t="s">
        <v>112</v>
      </c>
      <c r="B479" s="31"/>
      <c r="C479" s="18"/>
      <c r="D479" s="18"/>
      <c r="E479" s="18"/>
      <c r="F479" s="18"/>
      <c r="G479" s="19"/>
      <c r="H479" s="29"/>
    </row>
    <row r="480" spans="1:8" ht="12.75" customHeight="1">
      <c r="A480" s="31">
        <v>46097</v>
      </c>
      <c r="B480" s="31"/>
      <c r="C480" s="20">
        <f>ROUND(98.0388307336436,5)</f>
        <v>98.03883</v>
      </c>
      <c r="D480" s="20">
        <f>F480</f>
        <v>94.7529</v>
      </c>
      <c r="E480" s="20">
        <f>F480</f>
        <v>94.7529</v>
      </c>
      <c r="F480" s="20">
        <f>ROUND(94.7528958639033,5)</f>
        <v>94.7529</v>
      </c>
      <c r="G480" s="19"/>
      <c r="H480" s="29"/>
    </row>
    <row r="481" spans="1:8" ht="12.75" customHeight="1">
      <c r="A481" s="31" t="s">
        <v>113</v>
      </c>
      <c r="B481" s="31"/>
      <c r="C481" s="18"/>
      <c r="D481" s="18"/>
      <c r="E481" s="18"/>
      <c r="F481" s="18"/>
      <c r="G481" s="19"/>
      <c r="H481" s="29"/>
    </row>
    <row r="482" spans="1:8" ht="12.75" customHeight="1">
      <c r="A482" s="31">
        <v>46188</v>
      </c>
      <c r="B482" s="31"/>
      <c r="C482" s="20">
        <f>ROUND(98.0388307336436,5)</f>
        <v>98.03883</v>
      </c>
      <c r="D482" s="20">
        <f>F482</f>
        <v>93.54037</v>
      </c>
      <c r="E482" s="20">
        <f>F482</f>
        <v>93.54037</v>
      </c>
      <c r="F482" s="20">
        <f>ROUND(93.5403735814663,5)</f>
        <v>93.54037</v>
      </c>
      <c r="G482" s="19"/>
      <c r="H482" s="29"/>
    </row>
    <row r="483" spans="1:8" ht="12.75" customHeight="1">
      <c r="A483" s="31" t="s">
        <v>114</v>
      </c>
      <c r="B483" s="31"/>
      <c r="C483" s="18"/>
      <c r="D483" s="18"/>
      <c r="E483" s="18"/>
      <c r="F483" s="18"/>
      <c r="G483" s="19"/>
      <c r="H483" s="29"/>
    </row>
    <row r="484" spans="1:8" ht="12.75" customHeight="1">
      <c r="A484" s="31">
        <v>46286</v>
      </c>
      <c r="B484" s="31"/>
      <c r="C484" s="20">
        <f>ROUND(98.0388307336436,5)</f>
        <v>98.03883</v>
      </c>
      <c r="D484" s="20">
        <f>F484</f>
        <v>95.69278</v>
      </c>
      <c r="E484" s="20">
        <f>F484</f>
        <v>95.69278</v>
      </c>
      <c r="F484" s="20">
        <f>ROUND(95.6927755396621,5)</f>
        <v>95.69278</v>
      </c>
      <c r="G484" s="19"/>
      <c r="H484" s="29"/>
    </row>
    <row r="485" spans="1:8" ht="12.75" customHeight="1">
      <c r="A485" s="31" t="s">
        <v>115</v>
      </c>
      <c r="B485" s="31"/>
      <c r="C485" s="18"/>
      <c r="D485" s="18"/>
      <c r="E485" s="18"/>
      <c r="F485" s="18"/>
      <c r="G485" s="19"/>
      <c r="H485" s="29"/>
    </row>
    <row r="486" spans="1:8" ht="12.75" customHeight="1">
      <c r="A486" s="31">
        <v>46377</v>
      </c>
      <c r="B486" s="31"/>
      <c r="C486" s="20">
        <f>ROUND(98.0388307336436,5)</f>
        <v>98.03883</v>
      </c>
      <c r="D486" s="20">
        <f>F486</f>
        <v>99.43153</v>
      </c>
      <c r="E486" s="20">
        <f>F486</f>
        <v>99.43153</v>
      </c>
      <c r="F486" s="20">
        <f>ROUND(99.431525619758,5)</f>
        <v>99.43153</v>
      </c>
      <c r="G486" s="19"/>
      <c r="H486" s="29"/>
    </row>
    <row r="487" spans="1:8" ht="12.75" customHeight="1">
      <c r="A487" s="31" t="s">
        <v>116</v>
      </c>
      <c r="B487" s="31"/>
      <c r="C487" s="18"/>
      <c r="D487" s="18"/>
      <c r="E487" s="18"/>
      <c r="F487" s="18"/>
      <c r="G487" s="19"/>
      <c r="H487" s="29"/>
    </row>
    <row r="488" spans="1:8" ht="12.75" customHeight="1" thickBot="1">
      <c r="A488" s="32">
        <v>46461</v>
      </c>
      <c r="B488" s="32"/>
      <c r="C488" s="26">
        <f>ROUND(98.0388307336436,5)</f>
        <v>98.03883</v>
      </c>
      <c r="D488" s="26">
        <f>F488</f>
        <v>98.03883</v>
      </c>
      <c r="E488" s="26">
        <f>F488</f>
        <v>98.03883</v>
      </c>
      <c r="F488" s="26">
        <f>ROUND(98.0388307336436,5)</f>
        <v>98.03883</v>
      </c>
      <c r="G488" s="27"/>
      <c r="H488" s="30"/>
    </row>
  </sheetData>
  <sheetProtection/>
  <mergeCells count="48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75:B375"/>
    <mergeCell ref="A364:B364"/>
    <mergeCell ref="A365:B365"/>
    <mergeCell ref="A366:B366"/>
    <mergeCell ref="A367:B367"/>
    <mergeCell ref="A368:B368"/>
    <mergeCell ref="A369:B369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2017-02-09T16:07:00Z</dcterms:modified>
  <cp:category/>
  <cp:version/>
  <cp:contentType/>
  <cp:contentStatus/>
</cp:coreProperties>
</file>