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'Jerry'!$A$1:$H$488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<sst xmlns="http://schemas.openxmlformats.org/spreadsheetml/2006/main" count="119" uniqueCount="119">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</sst>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7"/>
  <sheetViews>
    <sheetView tabSelected="1" zoomScaleSheetLayoutView="75" zoomScalePageLayoutView="0" workbookViewId="0" topLeftCell="A1">
      <selection activeCell="E13" sqref="E13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42895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ROUND(2.48,5)</f>
        <v>2.48</v>
      </c>
      <c r="D6" s="25">
        <f>F6</f>
        <v>2.48</v>
      </c>
      <c r="E6" s="25">
        <f>F6</f>
        <v>2.48</v>
      </c>
      <c r="F6" s="25">
        <f>ROUND(2.48,5)</f>
        <v>2.48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ROUND(2.35,5)</f>
        <v>2.35</v>
      </c>
      <c r="D8" s="25">
        <f>F8</f>
        <v>2.35</v>
      </c>
      <c r="E8" s="25">
        <f>F8</f>
        <v>2.35</v>
      </c>
      <c r="F8" s="25">
        <f>ROUND(2.35,5)</f>
        <v>2.35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ROUND(2.4,5)</f>
        <v>2.4</v>
      </c>
      <c r="D10" s="25">
        <f>F10</f>
        <v>2.4</v>
      </c>
      <c r="E10" s="25">
        <f>F10</f>
        <v>2.4</v>
      </c>
      <c r="F10" s="25">
        <f>ROUND(2.4,5)</f>
        <v>2.4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ROUND(3.15,5)</f>
        <v>3.15</v>
      </c>
      <c r="D12" s="25">
        <f>F12</f>
        <v>3.15</v>
      </c>
      <c r="E12" s="25">
        <f>F12</f>
        <v>3.15</v>
      </c>
      <c r="F12" s="25">
        <f>ROUND(3.15,5)</f>
        <v>3.15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ROUND(10.57,5)</f>
        <v>10.57</v>
      </c>
      <c r="D14" s="25">
        <f>F14</f>
        <v>10.57</v>
      </c>
      <c r="E14" s="25">
        <f>F14</f>
        <v>10.57</v>
      </c>
      <c r="F14" s="25">
        <f>ROUND(10.57,5)</f>
        <v>10.57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ROUND(7.86,5)</f>
        <v>7.86</v>
      </c>
      <c r="D16" s="25">
        <f>F16</f>
        <v>7.86</v>
      </c>
      <c r="E16" s="25">
        <f>F16</f>
        <v>7.86</v>
      </c>
      <c r="F16" s="25">
        <f>ROUND(7.86,5)</f>
        <v>7.86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ROUND(8.475,3)</f>
        <v>8.475</v>
      </c>
      <c r="D18" s="27">
        <f>F18</f>
        <v>8.475</v>
      </c>
      <c r="E18" s="27">
        <f>F18</f>
        <v>8.475</v>
      </c>
      <c r="F18" s="27">
        <f>ROUND(8.475,3)</f>
        <v>8.475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ROUND(2.45,3)</f>
        <v>2.45</v>
      </c>
      <c r="D20" s="27">
        <f>F20</f>
        <v>2.45</v>
      </c>
      <c r="E20" s="27">
        <f>F20</f>
        <v>2.45</v>
      </c>
      <c r="F20" s="27">
        <f>ROUND(2.45,3)</f>
        <v>2.45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ROUND(2.43,3)</f>
        <v>2.43</v>
      </c>
      <c r="D22" s="27">
        <f>F22</f>
        <v>2.43</v>
      </c>
      <c r="E22" s="27">
        <f>F22</f>
        <v>2.43</v>
      </c>
      <c r="F22" s="27">
        <f>ROUND(2.43,3)</f>
        <v>2.43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ROUND(7.455,3)</f>
        <v>7.455</v>
      </c>
      <c r="D24" s="27">
        <f>F24</f>
        <v>7.455</v>
      </c>
      <c r="E24" s="27">
        <f>F24</f>
        <v>7.455</v>
      </c>
      <c r="F24" s="27">
        <f>ROUND(7.455,3)</f>
        <v>7.455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ROUND(7.33,3)</f>
        <v>7.33</v>
      </c>
      <c r="D26" s="27">
        <f>F26</f>
        <v>7.33</v>
      </c>
      <c r="E26" s="27">
        <f>F26</f>
        <v>7.33</v>
      </c>
      <c r="F26" s="27">
        <f>ROUND(7.33,3)</f>
        <v>7.33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ROUND(7.38,3)</f>
        <v>7.38</v>
      </c>
      <c r="D28" s="27">
        <f>F28</f>
        <v>7.38</v>
      </c>
      <c r="E28" s="27">
        <f>F28</f>
        <v>7.38</v>
      </c>
      <c r="F28" s="27">
        <f>ROUND(7.38,3)</f>
        <v>7.38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ROUND(7.49,3)</f>
        <v>7.49</v>
      </c>
      <c r="D30" s="27">
        <f>F30</f>
        <v>7.49</v>
      </c>
      <c r="E30" s="27">
        <f>F30</f>
        <v>7.49</v>
      </c>
      <c r="F30" s="27">
        <f>ROUND(7.49,3)</f>
        <v>7.49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ROUND(9.36,3)</f>
        <v>9.36</v>
      </c>
      <c r="D32" s="27">
        <f>F32</f>
        <v>9.36</v>
      </c>
      <c r="E32" s="27">
        <f>F32</f>
        <v>9.36</v>
      </c>
      <c r="F32" s="27">
        <f>ROUND(9.36,3)</f>
        <v>9.36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ROUND(2.43,3)</f>
        <v>2.43</v>
      </c>
      <c r="D34" s="27">
        <f>F34</f>
        <v>2.43</v>
      </c>
      <c r="E34" s="27">
        <f>F34</f>
        <v>2.43</v>
      </c>
      <c r="F34" s="27">
        <f>ROUND(2.43,3)</f>
        <v>2.43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ROUND(2.445,3)</f>
        <v>2.445</v>
      </c>
      <c r="D36" s="27">
        <f>F36</f>
        <v>2.445</v>
      </c>
      <c r="E36" s="27">
        <f>F36</f>
        <v>2.445</v>
      </c>
      <c r="F36" s="27">
        <f>ROUND(2.445,3)</f>
        <v>2.445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47907</v>
      </c>
      <c r="B38" s="22"/>
      <c r="C38" s="27">
        <f>ROUND(9.065,3)</f>
        <v>9.065</v>
      </c>
      <c r="D38" s="27">
        <f>F38</f>
        <v>9.065</v>
      </c>
      <c r="E38" s="27">
        <f>F38</f>
        <v>9.065</v>
      </c>
      <c r="F38" s="27">
        <f>ROUND(9.065,3)</f>
        <v>9.065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42950</v>
      </c>
      <c r="B40" s="22"/>
      <c r="C40" s="25">
        <f>ROUND(2.48,5)</f>
        <v>2.48</v>
      </c>
      <c r="D40" s="25">
        <f>F40</f>
        <v>128.10282</v>
      </c>
      <c r="E40" s="25">
        <f>F40</f>
        <v>128.10282</v>
      </c>
      <c r="F40" s="25">
        <f>ROUND(128.10282,5)</f>
        <v>128.10282</v>
      </c>
      <c r="G40" s="24"/>
      <c r="H40" s="36"/>
    </row>
    <row r="41" spans="1:8" ht="12.75" customHeight="1">
      <c r="A41" s="22">
        <v>43041</v>
      </c>
      <c r="B41" s="22"/>
      <c r="C41" s="25">
        <f>ROUND(2.48,5)</f>
        <v>2.48</v>
      </c>
      <c r="D41" s="25">
        <f>F41</f>
        <v>130.58402</v>
      </c>
      <c r="E41" s="25">
        <f>F41</f>
        <v>130.58402</v>
      </c>
      <c r="F41" s="25">
        <f>ROUND(130.58402,5)</f>
        <v>130.58402</v>
      </c>
      <c r="G41" s="24"/>
      <c r="H41" s="36"/>
    </row>
    <row r="42" spans="1:8" ht="12.75" customHeight="1">
      <c r="A42" s="22">
        <v>43132</v>
      </c>
      <c r="B42" s="22"/>
      <c r="C42" s="25">
        <f>ROUND(2.48,5)</f>
        <v>2.48</v>
      </c>
      <c r="D42" s="25">
        <f>F42</f>
        <v>131.83037</v>
      </c>
      <c r="E42" s="25">
        <f>F42</f>
        <v>131.83037</v>
      </c>
      <c r="F42" s="25">
        <f>ROUND(131.83037,5)</f>
        <v>131.83037</v>
      </c>
      <c r="G42" s="24"/>
      <c r="H42" s="36"/>
    </row>
    <row r="43" spans="1:8" ht="12.75" customHeight="1">
      <c r="A43" s="22">
        <v>43223</v>
      </c>
      <c r="B43" s="22"/>
      <c r="C43" s="25">
        <f>ROUND(2.48,5)</f>
        <v>2.48</v>
      </c>
      <c r="D43" s="25">
        <f>F43</f>
        <v>134.48906</v>
      </c>
      <c r="E43" s="25">
        <f>F43</f>
        <v>134.48906</v>
      </c>
      <c r="F43" s="25">
        <f>ROUND(134.48906,5)</f>
        <v>134.48906</v>
      </c>
      <c r="G43" s="24"/>
      <c r="H43" s="36"/>
    </row>
    <row r="44" spans="1:8" ht="12.75" customHeight="1">
      <c r="A44" s="22">
        <v>43314</v>
      </c>
      <c r="B44" s="22"/>
      <c r="C44" s="25">
        <f>ROUND(2.48,5)</f>
        <v>2.48</v>
      </c>
      <c r="D44" s="25">
        <f>F44</f>
        <v>137.07464</v>
      </c>
      <c r="E44" s="25">
        <f>F44</f>
        <v>137.07464</v>
      </c>
      <c r="F44" s="25">
        <f>ROUND(137.07464,5)</f>
        <v>137.07464</v>
      </c>
      <c r="G44" s="24"/>
      <c r="H44" s="36"/>
    </row>
    <row r="45" spans="1:8" ht="12.75" customHeight="1">
      <c r="A45" s="22" t="s">
        <v>30</v>
      </c>
      <c r="B45" s="22"/>
      <c r="C45" s="26"/>
      <c r="D45" s="26"/>
      <c r="E45" s="26"/>
      <c r="F45" s="26"/>
      <c r="G45" s="24"/>
      <c r="H45" s="36"/>
    </row>
    <row r="46" spans="1:8" ht="12.75" customHeight="1">
      <c r="A46" s="22">
        <v>42950</v>
      </c>
      <c r="B46" s="22"/>
      <c r="C46" s="25">
        <f>ROUND(99.2915,5)</f>
        <v>99.2915</v>
      </c>
      <c r="D46" s="25">
        <f>F46</f>
        <v>100.42991</v>
      </c>
      <c r="E46" s="25">
        <f>F46</f>
        <v>100.42991</v>
      </c>
      <c r="F46" s="25">
        <f>ROUND(100.42991,5)</f>
        <v>100.42991</v>
      </c>
      <c r="G46" s="24"/>
      <c r="H46" s="36"/>
    </row>
    <row r="47" spans="1:8" ht="12.75" customHeight="1">
      <c r="A47" s="22">
        <v>43041</v>
      </c>
      <c r="B47" s="22"/>
      <c r="C47" s="25">
        <f>ROUND(99.2915,5)</f>
        <v>99.2915</v>
      </c>
      <c r="D47" s="25">
        <f>F47</f>
        <v>101.36754</v>
      </c>
      <c r="E47" s="25">
        <f>F47</f>
        <v>101.36754</v>
      </c>
      <c r="F47" s="25">
        <f>ROUND(101.36754,5)</f>
        <v>101.36754</v>
      </c>
      <c r="G47" s="24"/>
      <c r="H47" s="36"/>
    </row>
    <row r="48" spans="1:8" ht="12.75" customHeight="1">
      <c r="A48" s="22">
        <v>43132</v>
      </c>
      <c r="B48" s="22"/>
      <c r="C48" s="25">
        <f>ROUND(99.2915,5)</f>
        <v>99.2915</v>
      </c>
      <c r="D48" s="25">
        <f>F48</f>
        <v>103.38459</v>
      </c>
      <c r="E48" s="25">
        <f>F48</f>
        <v>103.38459</v>
      </c>
      <c r="F48" s="25">
        <f>ROUND(103.38459,5)</f>
        <v>103.38459</v>
      </c>
      <c r="G48" s="24"/>
      <c r="H48" s="36"/>
    </row>
    <row r="49" spans="1:8" ht="12.75" customHeight="1">
      <c r="A49" s="22">
        <v>43223</v>
      </c>
      <c r="B49" s="22"/>
      <c r="C49" s="25">
        <f>ROUND(99.2915,5)</f>
        <v>99.2915</v>
      </c>
      <c r="D49" s="25">
        <f>F49</f>
        <v>104.44124</v>
      </c>
      <c r="E49" s="25">
        <f>F49</f>
        <v>104.44124</v>
      </c>
      <c r="F49" s="25">
        <f>ROUND(104.44124,5)</f>
        <v>104.44124</v>
      </c>
      <c r="G49" s="24"/>
      <c r="H49" s="36"/>
    </row>
    <row r="50" spans="1:8" ht="12.75" customHeight="1">
      <c r="A50" s="22">
        <v>43314</v>
      </c>
      <c r="B50" s="22"/>
      <c r="C50" s="25">
        <f>ROUND(99.2915,5)</f>
        <v>99.2915</v>
      </c>
      <c r="D50" s="25">
        <f>F50</f>
        <v>106.44878</v>
      </c>
      <c r="E50" s="25">
        <f>F50</f>
        <v>106.44878</v>
      </c>
      <c r="F50" s="25">
        <f>ROUND(106.44878,5)</f>
        <v>106.44878</v>
      </c>
      <c r="G50" s="24"/>
      <c r="H50" s="36"/>
    </row>
    <row r="51" spans="1:8" ht="12.75" customHeight="1">
      <c r="A51" s="22" t="s">
        <v>31</v>
      </c>
      <c r="B51" s="22"/>
      <c r="C51" s="26"/>
      <c r="D51" s="26"/>
      <c r="E51" s="26"/>
      <c r="F51" s="26"/>
      <c r="G51" s="24"/>
      <c r="H51" s="36"/>
    </row>
    <row r="52" spans="1:8" ht="12.75" customHeight="1">
      <c r="A52" s="22">
        <v>42950</v>
      </c>
      <c r="B52" s="22"/>
      <c r="C52" s="25">
        <f>ROUND(8.99,5)</f>
        <v>8.99</v>
      </c>
      <c r="D52" s="25">
        <f>F52</f>
        <v>9.01809</v>
      </c>
      <c r="E52" s="25">
        <f>F52</f>
        <v>9.01809</v>
      </c>
      <c r="F52" s="25">
        <f>ROUND(9.01809,5)</f>
        <v>9.01809</v>
      </c>
      <c r="G52" s="24"/>
      <c r="H52" s="36"/>
    </row>
    <row r="53" spans="1:8" ht="12.75" customHeight="1">
      <c r="A53" s="22">
        <v>43041</v>
      </c>
      <c r="B53" s="22"/>
      <c r="C53" s="25">
        <f>ROUND(8.99,5)</f>
        <v>8.99</v>
      </c>
      <c r="D53" s="25">
        <f>F53</f>
        <v>9.05727</v>
      </c>
      <c r="E53" s="25">
        <f>F53</f>
        <v>9.05727</v>
      </c>
      <c r="F53" s="25">
        <f>ROUND(9.05727,5)</f>
        <v>9.05727</v>
      </c>
      <c r="G53" s="24"/>
      <c r="H53" s="36"/>
    </row>
    <row r="54" spans="1:8" ht="12.75" customHeight="1">
      <c r="A54" s="22">
        <v>43132</v>
      </c>
      <c r="B54" s="22"/>
      <c r="C54" s="25">
        <f>ROUND(8.99,5)</f>
        <v>8.99</v>
      </c>
      <c r="D54" s="25">
        <f>F54</f>
        <v>9.09464</v>
      </c>
      <c r="E54" s="25">
        <f>F54</f>
        <v>9.09464</v>
      </c>
      <c r="F54" s="25">
        <f>ROUND(9.09464,5)</f>
        <v>9.09464</v>
      </c>
      <c r="G54" s="24"/>
      <c r="H54" s="36"/>
    </row>
    <row r="55" spans="1:8" ht="12.75" customHeight="1">
      <c r="A55" s="22">
        <v>43223</v>
      </c>
      <c r="B55" s="22"/>
      <c r="C55" s="25">
        <f>ROUND(8.99,5)</f>
        <v>8.99</v>
      </c>
      <c r="D55" s="25">
        <f>F55</f>
        <v>9.1374</v>
      </c>
      <c r="E55" s="25">
        <f>F55</f>
        <v>9.1374</v>
      </c>
      <c r="F55" s="25">
        <f>ROUND(9.1374,5)</f>
        <v>9.1374</v>
      </c>
      <c r="G55" s="24"/>
      <c r="H55" s="36"/>
    </row>
    <row r="56" spans="1:8" ht="12.75" customHeight="1">
      <c r="A56" s="22">
        <v>43314</v>
      </c>
      <c r="B56" s="22"/>
      <c r="C56" s="25">
        <f>ROUND(8.99,5)</f>
        <v>8.99</v>
      </c>
      <c r="D56" s="25">
        <f>F56</f>
        <v>9.18863</v>
      </c>
      <c r="E56" s="25">
        <f>F56</f>
        <v>9.18863</v>
      </c>
      <c r="F56" s="25">
        <f>ROUND(9.18863,5)</f>
        <v>9.18863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42950</v>
      </c>
      <c r="B58" s="22"/>
      <c r="C58" s="25">
        <f>ROUND(9.17,5)</f>
        <v>9.17</v>
      </c>
      <c r="D58" s="25">
        <f>F58</f>
        <v>9.19779</v>
      </c>
      <c r="E58" s="25">
        <f>F58</f>
        <v>9.19779</v>
      </c>
      <c r="F58" s="25">
        <f>ROUND(9.19779,5)</f>
        <v>9.19779</v>
      </c>
      <c r="G58" s="24"/>
      <c r="H58" s="36"/>
    </row>
    <row r="59" spans="1:8" ht="12.75" customHeight="1">
      <c r="A59" s="22">
        <v>43041</v>
      </c>
      <c r="B59" s="22"/>
      <c r="C59" s="25">
        <f>ROUND(9.17,5)</f>
        <v>9.17</v>
      </c>
      <c r="D59" s="25">
        <f>F59</f>
        <v>9.24233</v>
      </c>
      <c r="E59" s="25">
        <f>F59</f>
        <v>9.24233</v>
      </c>
      <c r="F59" s="25">
        <f>ROUND(9.24233,5)</f>
        <v>9.24233</v>
      </c>
      <c r="G59" s="24"/>
      <c r="H59" s="36"/>
    </row>
    <row r="60" spans="1:8" ht="12.75" customHeight="1">
      <c r="A60" s="22">
        <v>43132</v>
      </c>
      <c r="B60" s="22"/>
      <c r="C60" s="25">
        <f>ROUND(9.17,5)</f>
        <v>9.17</v>
      </c>
      <c r="D60" s="25">
        <f>F60</f>
        <v>9.28514</v>
      </c>
      <c r="E60" s="25">
        <f>F60</f>
        <v>9.28514</v>
      </c>
      <c r="F60" s="25">
        <f>ROUND(9.28514,5)</f>
        <v>9.28514</v>
      </c>
      <c r="G60" s="24"/>
      <c r="H60" s="36"/>
    </row>
    <row r="61" spans="1:8" ht="12.75" customHeight="1">
      <c r="A61" s="22">
        <v>43223</v>
      </c>
      <c r="B61" s="22"/>
      <c r="C61" s="25">
        <f>ROUND(9.17,5)</f>
        <v>9.17</v>
      </c>
      <c r="D61" s="25">
        <f>F61</f>
        <v>9.32884</v>
      </c>
      <c r="E61" s="25">
        <f>F61</f>
        <v>9.32884</v>
      </c>
      <c r="F61" s="25">
        <f>ROUND(9.32884,5)</f>
        <v>9.32884</v>
      </c>
      <c r="G61" s="24"/>
      <c r="H61" s="36"/>
    </row>
    <row r="62" spans="1:8" ht="12.75" customHeight="1">
      <c r="A62" s="22">
        <v>43314</v>
      </c>
      <c r="B62" s="22"/>
      <c r="C62" s="25">
        <f>ROUND(9.17,5)</f>
        <v>9.17</v>
      </c>
      <c r="D62" s="25">
        <f>F62</f>
        <v>9.37884</v>
      </c>
      <c r="E62" s="25">
        <f>F62</f>
        <v>9.37884</v>
      </c>
      <c r="F62" s="25">
        <f>ROUND(9.37884,5)</f>
        <v>9.37884</v>
      </c>
      <c r="G62" s="24"/>
      <c r="H62" s="36"/>
    </row>
    <row r="63" spans="1:8" ht="12.75" customHeight="1">
      <c r="A63" s="22" t="s">
        <v>33</v>
      </c>
      <c r="B63" s="22"/>
      <c r="C63" s="26"/>
      <c r="D63" s="26"/>
      <c r="E63" s="26"/>
      <c r="F63" s="26"/>
      <c r="G63" s="24"/>
      <c r="H63" s="36"/>
    </row>
    <row r="64" spans="1:8" ht="12.75" customHeight="1">
      <c r="A64" s="22">
        <v>42950</v>
      </c>
      <c r="B64" s="22"/>
      <c r="C64" s="25">
        <f>ROUND(104.21903,5)</f>
        <v>104.21903</v>
      </c>
      <c r="D64" s="25">
        <f>F64</f>
        <v>105.41402</v>
      </c>
      <c r="E64" s="25">
        <f>F64</f>
        <v>105.41402</v>
      </c>
      <c r="F64" s="25">
        <f>ROUND(105.41402,5)</f>
        <v>105.41402</v>
      </c>
      <c r="G64" s="24"/>
      <c r="H64" s="36"/>
    </row>
    <row r="65" spans="1:8" ht="12.75" customHeight="1">
      <c r="A65" s="22">
        <v>43041</v>
      </c>
      <c r="B65" s="22"/>
      <c r="C65" s="25">
        <f>ROUND(104.21903,5)</f>
        <v>104.21903</v>
      </c>
      <c r="D65" s="25">
        <f>F65</f>
        <v>106.37915</v>
      </c>
      <c r="E65" s="25">
        <f>F65</f>
        <v>106.37915</v>
      </c>
      <c r="F65" s="25">
        <f>ROUND(106.37915,5)</f>
        <v>106.37915</v>
      </c>
      <c r="G65" s="24"/>
      <c r="H65" s="36"/>
    </row>
    <row r="66" spans="1:8" ht="12.75" customHeight="1">
      <c r="A66" s="22">
        <v>43132</v>
      </c>
      <c r="B66" s="22"/>
      <c r="C66" s="25">
        <f>ROUND(104.21903,5)</f>
        <v>104.21903</v>
      </c>
      <c r="D66" s="25">
        <f>F66</f>
        <v>108.49594</v>
      </c>
      <c r="E66" s="25">
        <f>F66</f>
        <v>108.49594</v>
      </c>
      <c r="F66" s="25">
        <f>ROUND(108.49594,5)</f>
        <v>108.49594</v>
      </c>
      <c r="G66" s="24"/>
      <c r="H66" s="36"/>
    </row>
    <row r="67" spans="1:8" ht="12.75" customHeight="1">
      <c r="A67" s="22">
        <v>43223</v>
      </c>
      <c r="B67" s="22"/>
      <c r="C67" s="25">
        <f>ROUND(104.21903,5)</f>
        <v>104.21903</v>
      </c>
      <c r="D67" s="25">
        <f>F67</f>
        <v>109.58474</v>
      </c>
      <c r="E67" s="25">
        <f>F67</f>
        <v>109.58474</v>
      </c>
      <c r="F67" s="25">
        <f>ROUND(109.58474,5)</f>
        <v>109.58474</v>
      </c>
      <c r="G67" s="24"/>
      <c r="H67" s="36"/>
    </row>
    <row r="68" spans="1:8" ht="12.75" customHeight="1">
      <c r="A68" s="22">
        <v>43314</v>
      </c>
      <c r="B68" s="22"/>
      <c r="C68" s="25">
        <f>ROUND(104.21903,5)</f>
        <v>104.21903</v>
      </c>
      <c r="D68" s="25">
        <f>F68</f>
        <v>111.69134</v>
      </c>
      <c r="E68" s="25">
        <f>F68</f>
        <v>111.69134</v>
      </c>
      <c r="F68" s="25">
        <f>ROUND(111.69134,5)</f>
        <v>111.69134</v>
      </c>
      <c r="G68" s="24"/>
      <c r="H68" s="36"/>
    </row>
    <row r="69" spans="1:8" ht="12.75" customHeight="1">
      <c r="A69" s="22" t="s">
        <v>34</v>
      </c>
      <c r="B69" s="22"/>
      <c r="C69" s="26"/>
      <c r="D69" s="26"/>
      <c r="E69" s="26"/>
      <c r="F69" s="26"/>
      <c r="G69" s="24"/>
      <c r="H69" s="36"/>
    </row>
    <row r="70" spans="1:8" ht="12.75" customHeight="1">
      <c r="A70" s="22">
        <v>42950</v>
      </c>
      <c r="B70" s="22"/>
      <c r="C70" s="25">
        <f>ROUND(9.515,5)</f>
        <v>9.515</v>
      </c>
      <c r="D70" s="25">
        <f>F70</f>
        <v>9.54766</v>
      </c>
      <c r="E70" s="25">
        <f>F70</f>
        <v>9.54766</v>
      </c>
      <c r="F70" s="25">
        <f>ROUND(9.54766,5)</f>
        <v>9.54766</v>
      </c>
      <c r="G70" s="24"/>
      <c r="H70" s="36"/>
    </row>
    <row r="71" spans="1:8" ht="12.75" customHeight="1">
      <c r="A71" s="22">
        <v>43041</v>
      </c>
      <c r="B71" s="22"/>
      <c r="C71" s="25">
        <f>ROUND(9.515,5)</f>
        <v>9.515</v>
      </c>
      <c r="D71" s="25">
        <f>F71</f>
        <v>9.59506</v>
      </c>
      <c r="E71" s="25">
        <f>F71</f>
        <v>9.59506</v>
      </c>
      <c r="F71" s="25">
        <f>ROUND(9.59506,5)</f>
        <v>9.59506</v>
      </c>
      <c r="G71" s="24"/>
      <c r="H71" s="36"/>
    </row>
    <row r="72" spans="1:8" ht="12.75" customHeight="1">
      <c r="A72" s="22">
        <v>43132</v>
      </c>
      <c r="B72" s="22"/>
      <c r="C72" s="25">
        <f>ROUND(9.515,5)</f>
        <v>9.515</v>
      </c>
      <c r="D72" s="25">
        <f>F72</f>
        <v>9.64143</v>
      </c>
      <c r="E72" s="25">
        <f>F72</f>
        <v>9.64143</v>
      </c>
      <c r="F72" s="25">
        <f>ROUND(9.64143,5)</f>
        <v>9.64143</v>
      </c>
      <c r="G72" s="24"/>
      <c r="H72" s="36"/>
    </row>
    <row r="73" spans="1:8" ht="12.75" customHeight="1">
      <c r="A73" s="22">
        <v>43223</v>
      </c>
      <c r="B73" s="22"/>
      <c r="C73" s="25">
        <f>ROUND(9.515,5)</f>
        <v>9.515</v>
      </c>
      <c r="D73" s="25">
        <f>F73</f>
        <v>9.69236</v>
      </c>
      <c r="E73" s="25">
        <f>F73</f>
        <v>9.69236</v>
      </c>
      <c r="F73" s="25">
        <f>ROUND(9.69236,5)</f>
        <v>9.69236</v>
      </c>
      <c r="G73" s="24"/>
      <c r="H73" s="36"/>
    </row>
    <row r="74" spans="1:8" ht="12.75" customHeight="1">
      <c r="A74" s="22">
        <v>43314</v>
      </c>
      <c r="B74" s="22"/>
      <c r="C74" s="25">
        <f>ROUND(9.515,5)</f>
        <v>9.515</v>
      </c>
      <c r="D74" s="25">
        <f>F74</f>
        <v>9.75079</v>
      </c>
      <c r="E74" s="25">
        <f>F74</f>
        <v>9.75079</v>
      </c>
      <c r="F74" s="25">
        <f>ROUND(9.75079,5)</f>
        <v>9.75079</v>
      </c>
      <c r="G74" s="24"/>
      <c r="H74" s="36"/>
    </row>
    <row r="75" spans="1:8" ht="12.75" customHeight="1">
      <c r="A75" s="22" t="s">
        <v>35</v>
      </c>
      <c r="B75" s="22"/>
      <c r="C75" s="26"/>
      <c r="D75" s="26"/>
      <c r="E75" s="26"/>
      <c r="F75" s="26"/>
      <c r="G75" s="24"/>
      <c r="H75" s="36"/>
    </row>
    <row r="76" spans="1:8" ht="12.75" customHeight="1">
      <c r="A76" s="22">
        <v>42950</v>
      </c>
      <c r="B76" s="22"/>
      <c r="C76" s="25">
        <f>ROUND(2.35,5)</f>
        <v>2.35</v>
      </c>
      <c r="D76" s="25">
        <f>F76</f>
        <v>130.30654</v>
      </c>
      <c r="E76" s="25">
        <f>F76</f>
        <v>130.30654</v>
      </c>
      <c r="F76" s="25">
        <f>ROUND(130.30654,5)</f>
        <v>130.30654</v>
      </c>
      <c r="G76" s="24"/>
      <c r="H76" s="36"/>
    </row>
    <row r="77" spans="1:8" ht="12.75" customHeight="1">
      <c r="A77" s="22">
        <v>43041</v>
      </c>
      <c r="B77" s="22"/>
      <c r="C77" s="25">
        <f>ROUND(2.35,5)</f>
        <v>2.35</v>
      </c>
      <c r="D77" s="25">
        <f>F77</f>
        <v>132.83043</v>
      </c>
      <c r="E77" s="25">
        <f>F77</f>
        <v>132.83043</v>
      </c>
      <c r="F77" s="25">
        <f>ROUND(132.83043,5)</f>
        <v>132.83043</v>
      </c>
      <c r="G77" s="24"/>
      <c r="H77" s="36"/>
    </row>
    <row r="78" spans="1:8" ht="12.75" customHeight="1">
      <c r="A78" s="22">
        <v>43132</v>
      </c>
      <c r="B78" s="22"/>
      <c r="C78" s="25">
        <f>ROUND(2.35,5)</f>
        <v>2.35</v>
      </c>
      <c r="D78" s="25">
        <f>F78</f>
        <v>133.95233</v>
      </c>
      <c r="E78" s="25">
        <f>F78</f>
        <v>133.95233</v>
      </c>
      <c r="F78" s="25">
        <f>ROUND(133.95233,5)</f>
        <v>133.95233</v>
      </c>
      <c r="G78" s="24"/>
      <c r="H78" s="36"/>
    </row>
    <row r="79" spans="1:8" ht="12.75" customHeight="1">
      <c r="A79" s="22">
        <v>43223</v>
      </c>
      <c r="B79" s="22"/>
      <c r="C79" s="25">
        <f>ROUND(2.35,5)</f>
        <v>2.35</v>
      </c>
      <c r="D79" s="25">
        <f>F79</f>
        <v>136.65393</v>
      </c>
      <c r="E79" s="25">
        <f>F79</f>
        <v>136.65393</v>
      </c>
      <c r="F79" s="25">
        <f>ROUND(136.65393,5)</f>
        <v>136.65393</v>
      </c>
      <c r="G79" s="24"/>
      <c r="H79" s="36"/>
    </row>
    <row r="80" spans="1:8" ht="12.75" customHeight="1">
      <c r="A80" s="22">
        <v>43314</v>
      </c>
      <c r="B80" s="22"/>
      <c r="C80" s="25">
        <f>ROUND(2.35,5)</f>
        <v>2.35</v>
      </c>
      <c r="D80" s="25">
        <f>F80</f>
        <v>139.281</v>
      </c>
      <c r="E80" s="25">
        <f>F80</f>
        <v>139.281</v>
      </c>
      <c r="F80" s="25">
        <f>ROUND(139.281,5)</f>
        <v>139.281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42950</v>
      </c>
      <c r="B82" s="22"/>
      <c r="C82" s="25">
        <f>ROUND(9.58,5)</f>
        <v>9.58</v>
      </c>
      <c r="D82" s="25">
        <f>F82</f>
        <v>9.61276</v>
      </c>
      <c r="E82" s="25">
        <f>F82</f>
        <v>9.61276</v>
      </c>
      <c r="F82" s="25">
        <f>ROUND(9.61276,5)</f>
        <v>9.61276</v>
      </c>
      <c r="G82" s="24"/>
      <c r="H82" s="36"/>
    </row>
    <row r="83" spans="1:8" ht="12.75" customHeight="1">
      <c r="A83" s="22">
        <v>43041</v>
      </c>
      <c r="B83" s="22"/>
      <c r="C83" s="25">
        <f>ROUND(9.58,5)</f>
        <v>9.58</v>
      </c>
      <c r="D83" s="25">
        <f>F83</f>
        <v>9.66041</v>
      </c>
      <c r="E83" s="25">
        <f>F83</f>
        <v>9.66041</v>
      </c>
      <c r="F83" s="25">
        <f>ROUND(9.66041,5)</f>
        <v>9.66041</v>
      </c>
      <c r="G83" s="24"/>
      <c r="H83" s="36"/>
    </row>
    <row r="84" spans="1:8" ht="12.75" customHeight="1">
      <c r="A84" s="22">
        <v>43132</v>
      </c>
      <c r="B84" s="22"/>
      <c r="C84" s="25">
        <f>ROUND(9.58,5)</f>
        <v>9.58</v>
      </c>
      <c r="D84" s="25">
        <f>F84</f>
        <v>9.7071</v>
      </c>
      <c r="E84" s="25">
        <f>F84</f>
        <v>9.7071</v>
      </c>
      <c r="F84" s="25">
        <f>ROUND(9.7071,5)</f>
        <v>9.7071</v>
      </c>
      <c r="G84" s="24"/>
      <c r="H84" s="36"/>
    </row>
    <row r="85" spans="1:8" ht="12.75" customHeight="1">
      <c r="A85" s="22">
        <v>43223</v>
      </c>
      <c r="B85" s="22"/>
      <c r="C85" s="25">
        <f>ROUND(9.58,5)</f>
        <v>9.58</v>
      </c>
      <c r="D85" s="25">
        <f>F85</f>
        <v>9.75815</v>
      </c>
      <c r="E85" s="25">
        <f>F85</f>
        <v>9.75815</v>
      </c>
      <c r="F85" s="25">
        <f>ROUND(9.75815,5)</f>
        <v>9.75815</v>
      </c>
      <c r="G85" s="24"/>
      <c r="H85" s="36"/>
    </row>
    <row r="86" spans="1:8" ht="12.75" customHeight="1">
      <c r="A86" s="22">
        <v>43314</v>
      </c>
      <c r="B86" s="22"/>
      <c r="C86" s="25">
        <f>ROUND(9.58,5)</f>
        <v>9.58</v>
      </c>
      <c r="D86" s="25">
        <f>F86</f>
        <v>9.81648</v>
      </c>
      <c r="E86" s="25">
        <f>F86</f>
        <v>9.81648</v>
      </c>
      <c r="F86" s="25">
        <f>ROUND(9.81648,5)</f>
        <v>9.81648</v>
      </c>
      <c r="G86" s="24"/>
      <c r="H86" s="36"/>
    </row>
    <row r="87" spans="1:8" ht="12.75" customHeight="1">
      <c r="A87" s="22" t="s">
        <v>37</v>
      </c>
      <c r="B87" s="22"/>
      <c r="C87" s="26"/>
      <c r="D87" s="26"/>
      <c r="E87" s="26"/>
      <c r="F87" s="26"/>
      <c r="G87" s="24"/>
      <c r="H87" s="36"/>
    </row>
    <row r="88" spans="1:8" ht="12.75" customHeight="1">
      <c r="A88" s="22">
        <v>42950</v>
      </c>
      <c r="B88" s="22"/>
      <c r="C88" s="25">
        <f>ROUND(9.655,5)</f>
        <v>9.655</v>
      </c>
      <c r="D88" s="25">
        <f>F88</f>
        <v>9.68767</v>
      </c>
      <c r="E88" s="25">
        <f>F88</f>
        <v>9.68767</v>
      </c>
      <c r="F88" s="25">
        <f>ROUND(9.68767,5)</f>
        <v>9.68767</v>
      </c>
      <c r="G88" s="24"/>
      <c r="H88" s="36"/>
    </row>
    <row r="89" spans="1:8" ht="12.75" customHeight="1">
      <c r="A89" s="22">
        <v>43041</v>
      </c>
      <c r="B89" s="22"/>
      <c r="C89" s="25">
        <f>ROUND(9.655,5)</f>
        <v>9.655</v>
      </c>
      <c r="D89" s="25">
        <f>F89</f>
        <v>9.73532</v>
      </c>
      <c r="E89" s="25">
        <f>F89</f>
        <v>9.73532</v>
      </c>
      <c r="F89" s="25">
        <f>ROUND(9.73532,5)</f>
        <v>9.73532</v>
      </c>
      <c r="G89" s="24"/>
      <c r="H89" s="36"/>
    </row>
    <row r="90" spans="1:8" ht="12.75" customHeight="1">
      <c r="A90" s="22">
        <v>43132</v>
      </c>
      <c r="B90" s="22"/>
      <c r="C90" s="25">
        <f>ROUND(9.655,5)</f>
        <v>9.655</v>
      </c>
      <c r="D90" s="25">
        <f>F90</f>
        <v>9.78208</v>
      </c>
      <c r="E90" s="25">
        <f>F90</f>
        <v>9.78208</v>
      </c>
      <c r="F90" s="25">
        <f>ROUND(9.78208,5)</f>
        <v>9.78208</v>
      </c>
      <c r="G90" s="24"/>
      <c r="H90" s="36"/>
    </row>
    <row r="91" spans="1:8" ht="12.75" customHeight="1">
      <c r="A91" s="22">
        <v>43223</v>
      </c>
      <c r="B91" s="22"/>
      <c r="C91" s="25">
        <f>ROUND(9.655,5)</f>
        <v>9.655</v>
      </c>
      <c r="D91" s="25">
        <f>F91</f>
        <v>9.83297</v>
      </c>
      <c r="E91" s="25">
        <f>F91</f>
        <v>9.83297</v>
      </c>
      <c r="F91" s="25">
        <f>ROUND(9.83297,5)</f>
        <v>9.83297</v>
      </c>
      <c r="G91" s="24"/>
      <c r="H91" s="36"/>
    </row>
    <row r="92" spans="1:8" ht="12.75" customHeight="1">
      <c r="A92" s="22">
        <v>43314</v>
      </c>
      <c r="B92" s="22"/>
      <c r="C92" s="25">
        <f>ROUND(9.655,5)</f>
        <v>9.655</v>
      </c>
      <c r="D92" s="25">
        <f>F92</f>
        <v>9.89087</v>
      </c>
      <c r="E92" s="25">
        <f>F92</f>
        <v>9.89087</v>
      </c>
      <c r="F92" s="25">
        <f>ROUND(9.89087,5)</f>
        <v>9.89087</v>
      </c>
      <c r="G92" s="24"/>
      <c r="H92" s="36"/>
    </row>
    <row r="93" spans="1:8" ht="12.75" customHeight="1">
      <c r="A93" s="22" t="s">
        <v>38</v>
      </c>
      <c r="B93" s="22"/>
      <c r="C93" s="26"/>
      <c r="D93" s="26"/>
      <c r="E93" s="26"/>
      <c r="F93" s="26"/>
      <c r="G93" s="24"/>
      <c r="H93" s="36"/>
    </row>
    <row r="94" spans="1:8" ht="12.75" customHeight="1">
      <c r="A94" s="22">
        <v>42950</v>
      </c>
      <c r="B94" s="22"/>
      <c r="C94" s="25">
        <f>ROUND(126.47082,5)</f>
        <v>126.47082</v>
      </c>
      <c r="D94" s="25">
        <f>F94</f>
        <v>127.92091</v>
      </c>
      <c r="E94" s="25">
        <f>F94</f>
        <v>127.92091</v>
      </c>
      <c r="F94" s="25">
        <f>ROUND(127.92091,5)</f>
        <v>127.92091</v>
      </c>
      <c r="G94" s="24"/>
      <c r="H94" s="36"/>
    </row>
    <row r="95" spans="1:8" ht="12.75" customHeight="1">
      <c r="A95" s="22">
        <v>43041</v>
      </c>
      <c r="B95" s="22"/>
      <c r="C95" s="25">
        <f>ROUND(126.47082,5)</f>
        <v>126.47082</v>
      </c>
      <c r="D95" s="25">
        <f>F95</f>
        <v>128.81535</v>
      </c>
      <c r="E95" s="25">
        <f>F95</f>
        <v>128.81535</v>
      </c>
      <c r="F95" s="25">
        <f>ROUND(128.81535,5)</f>
        <v>128.81535</v>
      </c>
      <c r="G95" s="24"/>
      <c r="H95" s="36"/>
    </row>
    <row r="96" spans="1:8" ht="12.75" customHeight="1">
      <c r="A96" s="22">
        <v>43132</v>
      </c>
      <c r="B96" s="22"/>
      <c r="C96" s="25">
        <f>ROUND(126.47082,5)</f>
        <v>126.47082</v>
      </c>
      <c r="D96" s="25">
        <f>F96</f>
        <v>131.37848</v>
      </c>
      <c r="E96" s="25">
        <f>F96</f>
        <v>131.37848</v>
      </c>
      <c r="F96" s="25">
        <f>ROUND(131.37848,5)</f>
        <v>131.37848</v>
      </c>
      <c r="G96" s="24"/>
      <c r="H96" s="36"/>
    </row>
    <row r="97" spans="1:8" ht="12.75" customHeight="1">
      <c r="A97" s="22">
        <v>43223</v>
      </c>
      <c r="B97" s="22"/>
      <c r="C97" s="25">
        <f>ROUND(126.47082,5)</f>
        <v>126.47082</v>
      </c>
      <c r="D97" s="25">
        <f>F97</f>
        <v>132.4122</v>
      </c>
      <c r="E97" s="25">
        <f>F97</f>
        <v>132.4122</v>
      </c>
      <c r="F97" s="25">
        <f>ROUND(132.4122,5)</f>
        <v>132.4122</v>
      </c>
      <c r="G97" s="24"/>
      <c r="H97" s="36"/>
    </row>
    <row r="98" spans="1:8" ht="12.75" customHeight="1">
      <c r="A98" s="22">
        <v>43314</v>
      </c>
      <c r="B98" s="22"/>
      <c r="C98" s="25">
        <f>ROUND(126.47082,5)</f>
        <v>126.47082</v>
      </c>
      <c r="D98" s="25">
        <f>F98</f>
        <v>134.957</v>
      </c>
      <c r="E98" s="25">
        <f>F98</f>
        <v>134.957</v>
      </c>
      <c r="F98" s="25">
        <f>ROUND(134.957,5)</f>
        <v>134.957</v>
      </c>
      <c r="G98" s="24"/>
      <c r="H98" s="36"/>
    </row>
    <row r="99" spans="1:8" ht="12.75" customHeight="1">
      <c r="A99" s="22" t="s">
        <v>39</v>
      </c>
      <c r="B99" s="22"/>
      <c r="C99" s="26"/>
      <c r="D99" s="26"/>
      <c r="E99" s="26"/>
      <c r="F99" s="26"/>
      <c r="G99" s="24"/>
      <c r="H99" s="36"/>
    </row>
    <row r="100" spans="1:8" ht="12.75" customHeight="1">
      <c r="A100" s="22">
        <v>42950</v>
      </c>
      <c r="B100" s="22"/>
      <c r="C100" s="25">
        <f>ROUND(2.4,5)</f>
        <v>2.4</v>
      </c>
      <c r="D100" s="25">
        <f>F100</f>
        <v>135.62684</v>
      </c>
      <c r="E100" s="25">
        <f>F100</f>
        <v>135.62684</v>
      </c>
      <c r="F100" s="25">
        <f>ROUND(135.62684,5)</f>
        <v>135.62684</v>
      </c>
      <c r="G100" s="24"/>
      <c r="H100" s="36"/>
    </row>
    <row r="101" spans="1:8" ht="12.75" customHeight="1">
      <c r="A101" s="22">
        <v>43041</v>
      </c>
      <c r="B101" s="22"/>
      <c r="C101" s="25">
        <f>ROUND(2.4,5)</f>
        <v>2.4</v>
      </c>
      <c r="D101" s="25">
        <f>F101</f>
        <v>138.25364</v>
      </c>
      <c r="E101" s="25">
        <f>F101</f>
        <v>138.25364</v>
      </c>
      <c r="F101" s="25">
        <f>ROUND(138.25364,5)</f>
        <v>138.25364</v>
      </c>
      <c r="G101" s="24"/>
      <c r="H101" s="36"/>
    </row>
    <row r="102" spans="1:8" ht="12.75" customHeight="1">
      <c r="A102" s="22">
        <v>43132</v>
      </c>
      <c r="B102" s="22"/>
      <c r="C102" s="25">
        <f>ROUND(2.4,5)</f>
        <v>2.4</v>
      </c>
      <c r="D102" s="25">
        <f>F102</f>
        <v>139.31274</v>
      </c>
      <c r="E102" s="25">
        <f>F102</f>
        <v>139.31274</v>
      </c>
      <c r="F102" s="25">
        <f>ROUND(139.31274,5)</f>
        <v>139.31274</v>
      </c>
      <c r="G102" s="24"/>
      <c r="H102" s="36"/>
    </row>
    <row r="103" spans="1:8" ht="12.75" customHeight="1">
      <c r="A103" s="22">
        <v>43223</v>
      </c>
      <c r="B103" s="22"/>
      <c r="C103" s="25">
        <f>ROUND(2.4,5)</f>
        <v>2.4</v>
      </c>
      <c r="D103" s="25">
        <f>F103</f>
        <v>142.12251</v>
      </c>
      <c r="E103" s="25">
        <f>F103</f>
        <v>142.12251</v>
      </c>
      <c r="F103" s="25">
        <f>ROUND(142.12251,5)</f>
        <v>142.12251</v>
      </c>
      <c r="G103" s="24"/>
      <c r="H103" s="36"/>
    </row>
    <row r="104" spans="1:8" ht="12.75" customHeight="1">
      <c r="A104" s="22">
        <v>43314</v>
      </c>
      <c r="B104" s="22"/>
      <c r="C104" s="25">
        <f>ROUND(2.4,5)</f>
        <v>2.4</v>
      </c>
      <c r="D104" s="25">
        <f>F104</f>
        <v>144.85495</v>
      </c>
      <c r="E104" s="25">
        <f>F104</f>
        <v>144.85495</v>
      </c>
      <c r="F104" s="25">
        <f>ROUND(144.85495,5)</f>
        <v>144.85495</v>
      </c>
      <c r="G104" s="24"/>
      <c r="H104" s="36"/>
    </row>
    <row r="105" spans="1:8" ht="12.75" customHeight="1">
      <c r="A105" s="22" t="s">
        <v>40</v>
      </c>
      <c r="B105" s="22"/>
      <c r="C105" s="26"/>
      <c r="D105" s="26"/>
      <c r="E105" s="26"/>
      <c r="F105" s="26"/>
      <c r="G105" s="24"/>
      <c r="H105" s="36"/>
    </row>
    <row r="106" spans="1:8" ht="12.75" customHeight="1">
      <c r="A106" s="22">
        <v>42950</v>
      </c>
      <c r="B106" s="22"/>
      <c r="C106" s="25">
        <f>ROUND(3.15,5)</f>
        <v>3.15</v>
      </c>
      <c r="D106" s="25">
        <f>F106</f>
        <v>128.06265</v>
      </c>
      <c r="E106" s="25">
        <f>F106</f>
        <v>128.06265</v>
      </c>
      <c r="F106" s="25">
        <f>ROUND(128.06265,5)</f>
        <v>128.06265</v>
      </c>
      <c r="G106" s="24"/>
      <c r="H106" s="36"/>
    </row>
    <row r="107" spans="1:8" ht="12.75" customHeight="1">
      <c r="A107" s="22">
        <v>43041</v>
      </c>
      <c r="B107" s="22"/>
      <c r="C107" s="25">
        <f>ROUND(3.15,5)</f>
        <v>3.15</v>
      </c>
      <c r="D107" s="25">
        <f>F107</f>
        <v>128.79918</v>
      </c>
      <c r="E107" s="25">
        <f>F107</f>
        <v>128.79918</v>
      </c>
      <c r="F107" s="25">
        <f>ROUND(128.79918,5)</f>
        <v>128.79918</v>
      </c>
      <c r="G107" s="24"/>
      <c r="H107" s="36"/>
    </row>
    <row r="108" spans="1:8" ht="12.75" customHeight="1">
      <c r="A108" s="22">
        <v>43132</v>
      </c>
      <c r="B108" s="22"/>
      <c r="C108" s="25">
        <f>ROUND(3.15,5)</f>
        <v>3.15</v>
      </c>
      <c r="D108" s="25">
        <f>F108</f>
        <v>131.36219</v>
      </c>
      <c r="E108" s="25">
        <f>F108</f>
        <v>131.36219</v>
      </c>
      <c r="F108" s="25">
        <f>ROUND(131.36219,5)</f>
        <v>131.36219</v>
      </c>
      <c r="G108" s="24"/>
      <c r="H108" s="36"/>
    </row>
    <row r="109" spans="1:8" ht="12.75" customHeight="1">
      <c r="A109" s="22">
        <v>43223</v>
      </c>
      <c r="B109" s="22"/>
      <c r="C109" s="25">
        <f>ROUND(3.15,5)</f>
        <v>3.15</v>
      </c>
      <c r="D109" s="25">
        <f>F109</f>
        <v>134.0115</v>
      </c>
      <c r="E109" s="25">
        <f>F109</f>
        <v>134.0115</v>
      </c>
      <c r="F109" s="25">
        <f>ROUND(134.0115,5)</f>
        <v>134.0115</v>
      </c>
      <c r="G109" s="24"/>
      <c r="H109" s="36"/>
    </row>
    <row r="110" spans="1:8" ht="12.75" customHeight="1">
      <c r="A110" s="22">
        <v>43314</v>
      </c>
      <c r="B110" s="22"/>
      <c r="C110" s="25">
        <f>ROUND(3.15,5)</f>
        <v>3.15</v>
      </c>
      <c r="D110" s="25">
        <f>F110</f>
        <v>136.5883</v>
      </c>
      <c r="E110" s="25">
        <f>F110</f>
        <v>136.5883</v>
      </c>
      <c r="F110" s="25">
        <f>ROUND(136.5883,5)</f>
        <v>136.5883</v>
      </c>
      <c r="G110" s="24"/>
      <c r="H110" s="36"/>
    </row>
    <row r="111" spans="1:8" ht="12.75" customHeight="1">
      <c r="A111" s="22" t="s">
        <v>41</v>
      </c>
      <c r="B111" s="22"/>
      <c r="C111" s="26"/>
      <c r="D111" s="26"/>
      <c r="E111" s="26"/>
      <c r="F111" s="26"/>
      <c r="G111" s="24"/>
      <c r="H111" s="36"/>
    </row>
    <row r="112" spans="1:8" ht="12.75" customHeight="1">
      <c r="A112" s="22">
        <v>42950</v>
      </c>
      <c r="B112" s="22"/>
      <c r="C112" s="25">
        <f>ROUND(10.57,5)</f>
        <v>10.57</v>
      </c>
      <c r="D112" s="25">
        <f>F112</f>
        <v>10.6221</v>
      </c>
      <c r="E112" s="25">
        <f>F112</f>
        <v>10.6221</v>
      </c>
      <c r="F112" s="25">
        <f>ROUND(10.6221,5)</f>
        <v>10.6221</v>
      </c>
      <c r="G112" s="24"/>
      <c r="H112" s="36"/>
    </row>
    <row r="113" spans="1:8" ht="12.75" customHeight="1">
      <c r="A113" s="22">
        <v>43041</v>
      </c>
      <c r="B113" s="22"/>
      <c r="C113" s="25">
        <f>ROUND(10.57,5)</f>
        <v>10.57</v>
      </c>
      <c r="D113" s="25">
        <f>F113</f>
        <v>10.70986</v>
      </c>
      <c r="E113" s="25">
        <f>F113</f>
        <v>10.70986</v>
      </c>
      <c r="F113" s="25">
        <f>ROUND(10.70986,5)</f>
        <v>10.70986</v>
      </c>
      <c r="G113" s="24"/>
      <c r="H113" s="36"/>
    </row>
    <row r="114" spans="1:8" ht="12.75" customHeight="1">
      <c r="A114" s="22">
        <v>43132</v>
      </c>
      <c r="B114" s="22"/>
      <c r="C114" s="25">
        <f>ROUND(10.57,5)</f>
        <v>10.57</v>
      </c>
      <c r="D114" s="25">
        <f>F114</f>
        <v>10.79954</v>
      </c>
      <c r="E114" s="25">
        <f>F114</f>
        <v>10.79954</v>
      </c>
      <c r="F114" s="25">
        <f>ROUND(10.79954,5)</f>
        <v>10.79954</v>
      </c>
      <c r="G114" s="24"/>
      <c r="H114" s="36"/>
    </row>
    <row r="115" spans="1:8" ht="12.75" customHeight="1">
      <c r="A115" s="22">
        <v>43223</v>
      </c>
      <c r="B115" s="22"/>
      <c r="C115" s="25">
        <f>ROUND(10.57,5)</f>
        <v>10.57</v>
      </c>
      <c r="D115" s="25">
        <f>F115</f>
        <v>10.88886</v>
      </c>
      <c r="E115" s="25">
        <f>F115</f>
        <v>10.88886</v>
      </c>
      <c r="F115" s="25">
        <f>ROUND(10.88886,5)</f>
        <v>10.88886</v>
      </c>
      <c r="G115" s="24"/>
      <c r="H115" s="36"/>
    </row>
    <row r="116" spans="1:8" ht="12.75" customHeight="1">
      <c r="A116" s="22">
        <v>43314</v>
      </c>
      <c r="B116" s="22"/>
      <c r="C116" s="25">
        <f>ROUND(10.57,5)</f>
        <v>10.57</v>
      </c>
      <c r="D116" s="25">
        <f>F116</f>
        <v>10.98539</v>
      </c>
      <c r="E116" s="25">
        <f>F116</f>
        <v>10.98539</v>
      </c>
      <c r="F116" s="25">
        <f>ROUND(10.98539,5)</f>
        <v>10.98539</v>
      </c>
      <c r="G116" s="24"/>
      <c r="H116" s="36"/>
    </row>
    <row r="117" spans="1:8" ht="12.75" customHeight="1">
      <c r="A117" s="22" t="s">
        <v>42</v>
      </c>
      <c r="B117" s="22"/>
      <c r="C117" s="26"/>
      <c r="D117" s="26"/>
      <c r="E117" s="26"/>
      <c r="F117" s="26"/>
      <c r="G117" s="24"/>
      <c r="H117" s="36"/>
    </row>
    <row r="118" spans="1:8" ht="12.75" customHeight="1">
      <c r="A118" s="22">
        <v>42950</v>
      </c>
      <c r="B118" s="22"/>
      <c r="C118" s="25">
        <f>ROUND(10.775,5)</f>
        <v>10.775</v>
      </c>
      <c r="D118" s="25">
        <f>F118</f>
        <v>10.82718</v>
      </c>
      <c r="E118" s="25">
        <f>F118</f>
        <v>10.82718</v>
      </c>
      <c r="F118" s="25">
        <f>ROUND(10.82718,5)</f>
        <v>10.82718</v>
      </c>
      <c r="G118" s="24"/>
      <c r="H118" s="36"/>
    </row>
    <row r="119" spans="1:8" ht="12.75" customHeight="1">
      <c r="A119" s="22">
        <v>43041</v>
      </c>
      <c r="B119" s="22"/>
      <c r="C119" s="25">
        <f>ROUND(10.775,5)</f>
        <v>10.775</v>
      </c>
      <c r="D119" s="25">
        <f>F119</f>
        <v>10.91411</v>
      </c>
      <c r="E119" s="25">
        <f>F119</f>
        <v>10.91411</v>
      </c>
      <c r="F119" s="25">
        <f>ROUND(10.91411,5)</f>
        <v>10.91411</v>
      </c>
      <c r="G119" s="24"/>
      <c r="H119" s="36"/>
    </row>
    <row r="120" spans="1:8" ht="12.75" customHeight="1">
      <c r="A120" s="22">
        <v>43132</v>
      </c>
      <c r="B120" s="22"/>
      <c r="C120" s="25">
        <f>ROUND(10.775,5)</f>
        <v>10.775</v>
      </c>
      <c r="D120" s="25">
        <f>F120</f>
        <v>10.99999</v>
      </c>
      <c r="E120" s="25">
        <f>F120</f>
        <v>10.99999</v>
      </c>
      <c r="F120" s="25">
        <f>ROUND(10.99999,5)</f>
        <v>10.99999</v>
      </c>
      <c r="G120" s="24"/>
      <c r="H120" s="36"/>
    </row>
    <row r="121" spans="1:8" ht="12.75" customHeight="1">
      <c r="A121" s="22">
        <v>43223</v>
      </c>
      <c r="B121" s="22"/>
      <c r="C121" s="25">
        <f>ROUND(10.775,5)</f>
        <v>10.775</v>
      </c>
      <c r="D121" s="25">
        <f>F121</f>
        <v>11.09002</v>
      </c>
      <c r="E121" s="25">
        <f>F121</f>
        <v>11.09002</v>
      </c>
      <c r="F121" s="25">
        <f>ROUND(11.09002,5)</f>
        <v>11.09002</v>
      </c>
      <c r="G121" s="24"/>
      <c r="H121" s="36"/>
    </row>
    <row r="122" spans="1:8" ht="12.75" customHeight="1">
      <c r="A122" s="22">
        <v>43314</v>
      </c>
      <c r="B122" s="22"/>
      <c r="C122" s="25">
        <f>ROUND(10.775,5)</f>
        <v>10.775</v>
      </c>
      <c r="D122" s="25">
        <f>F122</f>
        <v>11.18531</v>
      </c>
      <c r="E122" s="25">
        <f>F122</f>
        <v>11.18531</v>
      </c>
      <c r="F122" s="25">
        <f>ROUND(11.18531,5)</f>
        <v>11.18531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42950</v>
      </c>
      <c r="B124" s="22"/>
      <c r="C124" s="25">
        <f>ROUND(7.86,5)</f>
        <v>7.86</v>
      </c>
      <c r="D124" s="25">
        <f>F124</f>
        <v>7.86566</v>
      </c>
      <c r="E124" s="25">
        <f>F124</f>
        <v>7.86566</v>
      </c>
      <c r="F124" s="25">
        <f>ROUND(7.86566,5)</f>
        <v>7.86566</v>
      </c>
      <c r="G124" s="24"/>
      <c r="H124" s="36"/>
    </row>
    <row r="125" spans="1:8" ht="12.75" customHeight="1">
      <c r="A125" s="22">
        <v>43041</v>
      </c>
      <c r="B125" s="22"/>
      <c r="C125" s="25">
        <f>ROUND(7.86,5)</f>
        <v>7.86</v>
      </c>
      <c r="D125" s="25">
        <f>F125</f>
        <v>7.87458</v>
      </c>
      <c r="E125" s="25">
        <f>F125</f>
        <v>7.87458</v>
      </c>
      <c r="F125" s="25">
        <f>ROUND(7.87458,5)</f>
        <v>7.87458</v>
      </c>
      <c r="G125" s="24"/>
      <c r="H125" s="36"/>
    </row>
    <row r="126" spans="1:8" ht="12.75" customHeight="1">
      <c r="A126" s="22">
        <v>43132</v>
      </c>
      <c r="B126" s="22"/>
      <c r="C126" s="25">
        <f>ROUND(7.86,5)</f>
        <v>7.86</v>
      </c>
      <c r="D126" s="25">
        <f>F126</f>
        <v>7.87816</v>
      </c>
      <c r="E126" s="25">
        <f>F126</f>
        <v>7.87816</v>
      </c>
      <c r="F126" s="25">
        <f>ROUND(7.87816,5)</f>
        <v>7.87816</v>
      </c>
      <c r="G126" s="24"/>
      <c r="H126" s="36"/>
    </row>
    <row r="127" spans="1:8" ht="12.75" customHeight="1">
      <c r="A127" s="22">
        <v>43223</v>
      </c>
      <c r="B127" s="22"/>
      <c r="C127" s="25">
        <f>ROUND(7.86,5)</f>
        <v>7.86</v>
      </c>
      <c r="D127" s="25">
        <f>F127</f>
        <v>7.87513</v>
      </c>
      <c r="E127" s="25">
        <f>F127</f>
        <v>7.87513</v>
      </c>
      <c r="F127" s="25">
        <f>ROUND(7.87513,5)</f>
        <v>7.87513</v>
      </c>
      <c r="G127" s="24"/>
      <c r="H127" s="36"/>
    </row>
    <row r="128" spans="1:8" ht="12.75" customHeight="1">
      <c r="A128" s="22">
        <v>43314</v>
      </c>
      <c r="B128" s="22"/>
      <c r="C128" s="25">
        <f>ROUND(7.86,5)</f>
        <v>7.86</v>
      </c>
      <c r="D128" s="25">
        <f>F128</f>
        <v>7.88088</v>
      </c>
      <c r="E128" s="25">
        <f>F128</f>
        <v>7.88088</v>
      </c>
      <c r="F128" s="25">
        <f>ROUND(7.88088,5)</f>
        <v>7.88088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42950</v>
      </c>
      <c r="B130" s="22"/>
      <c r="C130" s="25">
        <f>ROUND(9.41,5)</f>
        <v>9.41</v>
      </c>
      <c r="D130" s="25">
        <f>F130</f>
        <v>9.43979</v>
      </c>
      <c r="E130" s="25">
        <f>F130</f>
        <v>9.43979</v>
      </c>
      <c r="F130" s="25">
        <f>ROUND(9.43979,5)</f>
        <v>9.43979</v>
      </c>
      <c r="G130" s="24"/>
      <c r="H130" s="36"/>
    </row>
    <row r="131" spans="1:8" ht="12.75" customHeight="1">
      <c r="A131" s="22">
        <v>43041</v>
      </c>
      <c r="B131" s="22"/>
      <c r="C131" s="25">
        <f>ROUND(9.41,5)</f>
        <v>9.41</v>
      </c>
      <c r="D131" s="25">
        <f>F131</f>
        <v>9.48978</v>
      </c>
      <c r="E131" s="25">
        <f>F131</f>
        <v>9.48978</v>
      </c>
      <c r="F131" s="25">
        <f>ROUND(9.48978,5)</f>
        <v>9.48978</v>
      </c>
      <c r="G131" s="24"/>
      <c r="H131" s="36"/>
    </row>
    <row r="132" spans="1:8" ht="12.75" customHeight="1">
      <c r="A132" s="22">
        <v>43132</v>
      </c>
      <c r="B132" s="22"/>
      <c r="C132" s="25">
        <f>ROUND(9.41,5)</f>
        <v>9.41</v>
      </c>
      <c r="D132" s="25">
        <f>F132</f>
        <v>9.53934</v>
      </c>
      <c r="E132" s="25">
        <f>F132</f>
        <v>9.53934</v>
      </c>
      <c r="F132" s="25">
        <f>ROUND(9.53934,5)</f>
        <v>9.53934</v>
      </c>
      <c r="G132" s="24"/>
      <c r="H132" s="36"/>
    </row>
    <row r="133" spans="1:8" ht="12.75" customHeight="1">
      <c r="A133" s="22">
        <v>43223</v>
      </c>
      <c r="B133" s="22"/>
      <c r="C133" s="25">
        <f>ROUND(9.41,5)</f>
        <v>9.41</v>
      </c>
      <c r="D133" s="25">
        <f>F133</f>
        <v>9.58632</v>
      </c>
      <c r="E133" s="25">
        <f>F133</f>
        <v>9.58632</v>
      </c>
      <c r="F133" s="25">
        <f>ROUND(9.58632,5)</f>
        <v>9.58632</v>
      </c>
      <c r="G133" s="24"/>
      <c r="H133" s="36"/>
    </row>
    <row r="134" spans="1:8" ht="12.75" customHeight="1">
      <c r="A134" s="22">
        <v>43314</v>
      </c>
      <c r="B134" s="22"/>
      <c r="C134" s="25">
        <f>ROUND(9.41,5)</f>
        <v>9.41</v>
      </c>
      <c r="D134" s="25">
        <f>F134</f>
        <v>9.63963</v>
      </c>
      <c r="E134" s="25">
        <f>F134</f>
        <v>9.63963</v>
      </c>
      <c r="F134" s="25">
        <f>ROUND(9.63963,5)</f>
        <v>9.63963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42950</v>
      </c>
      <c r="B136" s="22"/>
      <c r="C136" s="25">
        <f>ROUND(8.475,5)</f>
        <v>8.475</v>
      </c>
      <c r="D136" s="25">
        <f>F136</f>
        <v>8.49488</v>
      </c>
      <c r="E136" s="25">
        <f>F136</f>
        <v>8.49488</v>
      </c>
      <c r="F136" s="25">
        <f>ROUND(8.49488,5)</f>
        <v>8.49488</v>
      </c>
      <c r="G136" s="24"/>
      <c r="H136" s="36"/>
    </row>
    <row r="137" spans="1:8" ht="12.75" customHeight="1">
      <c r="A137" s="22">
        <v>43041</v>
      </c>
      <c r="B137" s="22"/>
      <c r="C137" s="25">
        <f>ROUND(8.475,5)</f>
        <v>8.475</v>
      </c>
      <c r="D137" s="25">
        <f>F137</f>
        <v>8.52491</v>
      </c>
      <c r="E137" s="25">
        <f>F137</f>
        <v>8.52491</v>
      </c>
      <c r="F137" s="25">
        <f>ROUND(8.52491,5)</f>
        <v>8.52491</v>
      </c>
      <c r="G137" s="24"/>
      <c r="H137" s="36"/>
    </row>
    <row r="138" spans="1:8" ht="12.75" customHeight="1">
      <c r="A138" s="22">
        <v>43132</v>
      </c>
      <c r="B138" s="22"/>
      <c r="C138" s="25">
        <f>ROUND(8.475,5)</f>
        <v>8.475</v>
      </c>
      <c r="D138" s="25">
        <f>F138</f>
        <v>8.55196</v>
      </c>
      <c r="E138" s="25">
        <f>F138</f>
        <v>8.55196</v>
      </c>
      <c r="F138" s="25">
        <f>ROUND(8.55196,5)</f>
        <v>8.55196</v>
      </c>
      <c r="G138" s="24"/>
      <c r="H138" s="36"/>
    </row>
    <row r="139" spans="1:8" ht="12.75" customHeight="1">
      <c r="A139" s="22">
        <v>43223</v>
      </c>
      <c r="B139" s="22"/>
      <c r="C139" s="25">
        <f>ROUND(8.475,5)</f>
        <v>8.475</v>
      </c>
      <c r="D139" s="25">
        <f>F139</f>
        <v>8.58111</v>
      </c>
      <c r="E139" s="25">
        <f>F139</f>
        <v>8.58111</v>
      </c>
      <c r="F139" s="25">
        <f>ROUND(8.58111,5)</f>
        <v>8.58111</v>
      </c>
      <c r="G139" s="24"/>
      <c r="H139" s="36"/>
    </row>
    <row r="140" spans="1:8" ht="12.75" customHeight="1">
      <c r="A140" s="22">
        <v>43314</v>
      </c>
      <c r="B140" s="22"/>
      <c r="C140" s="25">
        <f>ROUND(8.475,5)</f>
        <v>8.475</v>
      </c>
      <c r="D140" s="25">
        <f>F140</f>
        <v>8.61885</v>
      </c>
      <c r="E140" s="25">
        <f>F140</f>
        <v>8.61885</v>
      </c>
      <c r="F140" s="25">
        <f>ROUND(8.61885,5)</f>
        <v>8.61885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42950</v>
      </c>
      <c r="B142" s="22"/>
      <c r="C142" s="25">
        <f>ROUND(2.45,5)</f>
        <v>2.45</v>
      </c>
      <c r="D142" s="25">
        <f>F142</f>
        <v>296.26671</v>
      </c>
      <c r="E142" s="25">
        <f>F142</f>
        <v>296.26671</v>
      </c>
      <c r="F142" s="25">
        <f>ROUND(296.26671,5)</f>
        <v>296.26671</v>
      </c>
      <c r="G142" s="24"/>
      <c r="H142" s="36"/>
    </row>
    <row r="143" spans="1:8" ht="12.75" customHeight="1">
      <c r="A143" s="22">
        <v>43041</v>
      </c>
      <c r="B143" s="22"/>
      <c r="C143" s="25">
        <f>ROUND(2.45,5)</f>
        <v>2.45</v>
      </c>
      <c r="D143" s="25">
        <f>F143</f>
        <v>302.00489</v>
      </c>
      <c r="E143" s="25">
        <f>F143</f>
        <v>302.00489</v>
      </c>
      <c r="F143" s="25">
        <f>ROUND(302.00489,5)</f>
        <v>302.00489</v>
      </c>
      <c r="G143" s="24"/>
      <c r="H143" s="36"/>
    </row>
    <row r="144" spans="1:8" ht="12.75" customHeight="1">
      <c r="A144" s="22">
        <v>43132</v>
      </c>
      <c r="B144" s="22"/>
      <c r="C144" s="25">
        <f>ROUND(2.45,5)</f>
        <v>2.45</v>
      </c>
      <c r="D144" s="25">
        <f>F144</f>
        <v>300.96067</v>
      </c>
      <c r="E144" s="25">
        <f>F144</f>
        <v>300.96067</v>
      </c>
      <c r="F144" s="25">
        <f>ROUND(300.96067,5)</f>
        <v>300.96067</v>
      </c>
      <c r="G144" s="24"/>
      <c r="H144" s="36"/>
    </row>
    <row r="145" spans="1:8" ht="12.75" customHeight="1">
      <c r="A145" s="22">
        <v>43223</v>
      </c>
      <c r="B145" s="22"/>
      <c r="C145" s="25">
        <f>ROUND(2.45,5)</f>
        <v>2.45</v>
      </c>
      <c r="D145" s="25">
        <f>F145</f>
        <v>307.03034</v>
      </c>
      <c r="E145" s="25">
        <f>F145</f>
        <v>307.03034</v>
      </c>
      <c r="F145" s="25">
        <f>ROUND(307.03034,5)</f>
        <v>307.03034</v>
      </c>
      <c r="G145" s="24"/>
      <c r="H145" s="36"/>
    </row>
    <row r="146" spans="1:8" ht="12.75" customHeight="1">
      <c r="A146" s="22">
        <v>43314</v>
      </c>
      <c r="B146" s="22"/>
      <c r="C146" s="25">
        <f>ROUND(2.45,5)</f>
        <v>2.45</v>
      </c>
      <c r="D146" s="25">
        <f>F146</f>
        <v>312.93187</v>
      </c>
      <c r="E146" s="25">
        <f>F146</f>
        <v>312.93187</v>
      </c>
      <c r="F146" s="25">
        <f>ROUND(312.93187,5)</f>
        <v>312.93187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42950</v>
      </c>
      <c r="B148" s="22"/>
      <c r="C148" s="25">
        <f>ROUND(2.43,5)</f>
        <v>2.43</v>
      </c>
      <c r="D148" s="25">
        <f>F148</f>
        <v>241.47219</v>
      </c>
      <c r="E148" s="25">
        <f>F148</f>
        <v>241.47219</v>
      </c>
      <c r="F148" s="25">
        <f>ROUND(241.47219,5)</f>
        <v>241.47219</v>
      </c>
      <c r="G148" s="24"/>
      <c r="H148" s="36"/>
    </row>
    <row r="149" spans="1:8" ht="12.75" customHeight="1">
      <c r="A149" s="22">
        <v>43041</v>
      </c>
      <c r="B149" s="22"/>
      <c r="C149" s="25">
        <f>ROUND(2.43,5)</f>
        <v>2.43</v>
      </c>
      <c r="D149" s="25">
        <f>F149</f>
        <v>246.149</v>
      </c>
      <c r="E149" s="25">
        <f>F149</f>
        <v>246.149</v>
      </c>
      <c r="F149" s="25">
        <f>ROUND(246.149,5)</f>
        <v>246.149</v>
      </c>
      <c r="G149" s="24"/>
      <c r="H149" s="36"/>
    </row>
    <row r="150" spans="1:8" ht="12.75" customHeight="1">
      <c r="A150" s="22">
        <v>43132</v>
      </c>
      <c r="B150" s="22"/>
      <c r="C150" s="25">
        <f>ROUND(2.43,5)</f>
        <v>2.43</v>
      </c>
      <c r="D150" s="25">
        <f>F150</f>
        <v>247.30055</v>
      </c>
      <c r="E150" s="25">
        <f>F150</f>
        <v>247.30055</v>
      </c>
      <c r="F150" s="25">
        <f>ROUND(247.30055,5)</f>
        <v>247.30055</v>
      </c>
      <c r="G150" s="24"/>
      <c r="H150" s="36"/>
    </row>
    <row r="151" spans="1:8" ht="12.75" customHeight="1">
      <c r="A151" s="22">
        <v>43223</v>
      </c>
      <c r="B151" s="22"/>
      <c r="C151" s="25">
        <f>ROUND(2.43,5)</f>
        <v>2.43</v>
      </c>
      <c r="D151" s="25">
        <f>F151</f>
        <v>252.28799</v>
      </c>
      <c r="E151" s="25">
        <f>F151</f>
        <v>252.28799</v>
      </c>
      <c r="F151" s="25">
        <f>ROUND(252.28799,5)</f>
        <v>252.28799</v>
      </c>
      <c r="G151" s="24"/>
      <c r="H151" s="36"/>
    </row>
    <row r="152" spans="1:8" ht="12.75" customHeight="1">
      <c r="A152" s="22">
        <v>43314</v>
      </c>
      <c r="B152" s="22"/>
      <c r="C152" s="25">
        <f>ROUND(2.43,5)</f>
        <v>2.43</v>
      </c>
      <c r="D152" s="25">
        <f>F152</f>
        <v>257.13844</v>
      </c>
      <c r="E152" s="25">
        <f>F152</f>
        <v>257.13844</v>
      </c>
      <c r="F152" s="25">
        <f>ROUND(257.13844,5)</f>
        <v>257.13844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42950</v>
      </c>
      <c r="B154" s="22"/>
      <c r="C154" s="25">
        <f>ROUND(7.455,5)</f>
        <v>7.455</v>
      </c>
      <c r="D154" s="25">
        <f>F154</f>
        <v>7.26763</v>
      </c>
      <c r="E154" s="25">
        <f>F154</f>
        <v>7.26763</v>
      </c>
      <c r="F154" s="25">
        <f>ROUND(7.26763,5)</f>
        <v>7.26763</v>
      </c>
      <c r="G154" s="24"/>
      <c r="H154" s="36"/>
    </row>
    <row r="155" spans="1:8" ht="12.75" customHeight="1">
      <c r="A155" s="22">
        <v>43041</v>
      </c>
      <c r="B155" s="22"/>
      <c r="C155" s="25">
        <f>ROUND(7.455,5)</f>
        <v>7.455</v>
      </c>
      <c r="D155" s="25">
        <f>F155</f>
        <v>1.03146</v>
      </c>
      <c r="E155" s="25">
        <f>F155</f>
        <v>1.03146</v>
      </c>
      <c r="F155" s="25">
        <f>ROUND(1.03146,5)</f>
        <v>1.03146</v>
      </c>
      <c r="G155" s="24"/>
      <c r="H155" s="36"/>
    </row>
    <row r="156" spans="1:8" ht="12.75" customHeight="1">
      <c r="A156" s="22" t="s">
        <v>49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42950</v>
      </c>
      <c r="B157" s="22"/>
      <c r="C157" s="25">
        <f>ROUND(7.33,5)</f>
        <v>7.33</v>
      </c>
      <c r="D157" s="25">
        <f>F157</f>
        <v>7.29419</v>
      </c>
      <c r="E157" s="25">
        <f>F157</f>
        <v>7.29419</v>
      </c>
      <c r="F157" s="25">
        <f>ROUND(7.29419,5)</f>
        <v>7.29419</v>
      </c>
      <c r="G157" s="24"/>
      <c r="H157" s="36"/>
    </row>
    <row r="158" spans="1:8" ht="12.75" customHeight="1">
      <c r="A158" s="22">
        <v>43041</v>
      </c>
      <c r="B158" s="22"/>
      <c r="C158" s="25">
        <f>ROUND(7.33,5)</f>
        <v>7.33</v>
      </c>
      <c r="D158" s="25">
        <f>F158</f>
        <v>7.18439</v>
      </c>
      <c r="E158" s="25">
        <f>F158</f>
        <v>7.18439</v>
      </c>
      <c r="F158" s="25">
        <f>ROUND(7.18439,5)</f>
        <v>7.18439</v>
      </c>
      <c r="G158" s="24"/>
      <c r="H158" s="36"/>
    </row>
    <row r="159" spans="1:8" ht="12.75" customHeight="1">
      <c r="A159" s="22">
        <v>43132</v>
      </c>
      <c r="B159" s="22"/>
      <c r="C159" s="25">
        <f>ROUND(7.33,5)</f>
        <v>7.33</v>
      </c>
      <c r="D159" s="25">
        <f>F159</f>
        <v>6.97713</v>
      </c>
      <c r="E159" s="25">
        <f>F159</f>
        <v>6.97713</v>
      </c>
      <c r="F159" s="25">
        <f>ROUND(6.97713,5)</f>
        <v>6.97713</v>
      </c>
      <c r="G159" s="24"/>
      <c r="H159" s="36"/>
    </row>
    <row r="160" spans="1:8" ht="12.75" customHeight="1">
      <c r="A160" s="22">
        <v>43223</v>
      </c>
      <c r="B160" s="22"/>
      <c r="C160" s="25">
        <f>ROUND(7.33,5)</f>
        <v>7.33</v>
      </c>
      <c r="D160" s="25">
        <f>F160</f>
        <v>6.60569</v>
      </c>
      <c r="E160" s="25">
        <f>F160</f>
        <v>6.60569</v>
      </c>
      <c r="F160" s="25">
        <f>ROUND(6.60569,5)</f>
        <v>6.60569</v>
      </c>
      <c r="G160" s="24"/>
      <c r="H160" s="36"/>
    </row>
    <row r="161" spans="1:8" ht="12.75" customHeight="1">
      <c r="A161" s="22">
        <v>43314</v>
      </c>
      <c r="B161" s="22"/>
      <c r="C161" s="25">
        <f>ROUND(7.33,5)</f>
        <v>7.33</v>
      </c>
      <c r="D161" s="25">
        <f>F161</f>
        <v>5.80927</v>
      </c>
      <c r="E161" s="25">
        <f>F161</f>
        <v>5.80927</v>
      </c>
      <c r="F161" s="25">
        <f>ROUND(5.80927,5)</f>
        <v>5.80927</v>
      </c>
      <c r="G161" s="24"/>
      <c r="H161" s="36"/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42950</v>
      </c>
      <c r="B163" s="22"/>
      <c r="C163" s="25">
        <f>ROUND(7.38,5)</f>
        <v>7.38</v>
      </c>
      <c r="D163" s="25">
        <f>F163</f>
        <v>7.36392</v>
      </c>
      <c r="E163" s="25">
        <f>F163</f>
        <v>7.36392</v>
      </c>
      <c r="F163" s="25">
        <f>ROUND(7.36392,5)</f>
        <v>7.36392</v>
      </c>
      <c r="G163" s="24"/>
      <c r="H163" s="36"/>
    </row>
    <row r="164" spans="1:8" ht="12.75" customHeight="1">
      <c r="A164" s="22">
        <v>43041</v>
      </c>
      <c r="B164" s="22"/>
      <c r="C164" s="25">
        <f>ROUND(7.38,5)</f>
        <v>7.38</v>
      </c>
      <c r="D164" s="25">
        <f>F164</f>
        <v>7.30961</v>
      </c>
      <c r="E164" s="25">
        <f>F164</f>
        <v>7.30961</v>
      </c>
      <c r="F164" s="25">
        <f>ROUND(7.30961,5)</f>
        <v>7.30961</v>
      </c>
      <c r="G164" s="24"/>
      <c r="H164" s="36"/>
    </row>
    <row r="165" spans="1:8" ht="12.75" customHeight="1">
      <c r="A165" s="22">
        <v>43132</v>
      </c>
      <c r="B165" s="22"/>
      <c r="C165" s="25">
        <f>ROUND(7.38,5)</f>
        <v>7.38</v>
      </c>
      <c r="D165" s="25">
        <f>F165</f>
        <v>7.22556</v>
      </c>
      <c r="E165" s="25">
        <f>F165</f>
        <v>7.22556</v>
      </c>
      <c r="F165" s="25">
        <f>ROUND(7.22556,5)</f>
        <v>7.22556</v>
      </c>
      <c r="G165" s="24"/>
      <c r="H165" s="36"/>
    </row>
    <row r="166" spans="1:8" ht="12.75" customHeight="1">
      <c r="A166" s="22">
        <v>43223</v>
      </c>
      <c r="B166" s="22"/>
      <c r="C166" s="25">
        <f>ROUND(7.38,5)</f>
        <v>7.38</v>
      </c>
      <c r="D166" s="25">
        <f>F166</f>
        <v>7.13001</v>
      </c>
      <c r="E166" s="25">
        <f>F166</f>
        <v>7.13001</v>
      </c>
      <c r="F166" s="25">
        <f>ROUND(7.13001,5)</f>
        <v>7.13001</v>
      </c>
      <c r="G166" s="24"/>
      <c r="H166" s="36"/>
    </row>
    <row r="167" spans="1:8" ht="12.75" customHeight="1">
      <c r="A167" s="22">
        <v>43314</v>
      </c>
      <c r="B167" s="22"/>
      <c r="C167" s="25">
        <f>ROUND(7.38,5)</f>
        <v>7.38</v>
      </c>
      <c r="D167" s="25">
        <f>F167</f>
        <v>7.02634</v>
      </c>
      <c r="E167" s="25">
        <f>F167</f>
        <v>7.02634</v>
      </c>
      <c r="F167" s="25">
        <f>ROUND(7.02634,5)</f>
        <v>7.02634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42950</v>
      </c>
      <c r="B169" s="22"/>
      <c r="C169" s="25">
        <f>ROUND(7.49,5)</f>
        <v>7.49</v>
      </c>
      <c r="D169" s="25">
        <f>F169</f>
        <v>7.48259</v>
      </c>
      <c r="E169" s="25">
        <f>F169</f>
        <v>7.48259</v>
      </c>
      <c r="F169" s="25">
        <f>ROUND(7.48259,5)</f>
        <v>7.48259</v>
      </c>
      <c r="G169" s="24"/>
      <c r="H169" s="36"/>
    </row>
    <row r="170" spans="1:8" ht="12.75" customHeight="1">
      <c r="A170" s="22">
        <v>43041</v>
      </c>
      <c r="B170" s="22"/>
      <c r="C170" s="25">
        <f>ROUND(7.49,5)</f>
        <v>7.49</v>
      </c>
      <c r="D170" s="25">
        <f>F170</f>
        <v>7.46077</v>
      </c>
      <c r="E170" s="25">
        <f>F170</f>
        <v>7.46077</v>
      </c>
      <c r="F170" s="25">
        <f>ROUND(7.46077,5)</f>
        <v>7.46077</v>
      </c>
      <c r="G170" s="24"/>
      <c r="H170" s="36"/>
    </row>
    <row r="171" spans="1:8" ht="12.75" customHeight="1">
      <c r="A171" s="22">
        <v>43132</v>
      </c>
      <c r="B171" s="22"/>
      <c r="C171" s="25">
        <f>ROUND(7.49,5)</f>
        <v>7.49</v>
      </c>
      <c r="D171" s="25">
        <f>F171</f>
        <v>7.4254</v>
      </c>
      <c r="E171" s="25">
        <f>F171</f>
        <v>7.4254</v>
      </c>
      <c r="F171" s="25">
        <f>ROUND(7.4254,5)</f>
        <v>7.4254</v>
      </c>
      <c r="G171" s="24"/>
      <c r="H171" s="36"/>
    </row>
    <row r="172" spans="1:8" ht="12.75" customHeight="1">
      <c r="A172" s="22">
        <v>43223</v>
      </c>
      <c r="B172" s="22"/>
      <c r="C172" s="25">
        <f>ROUND(7.49,5)</f>
        <v>7.49</v>
      </c>
      <c r="D172" s="25">
        <f>F172</f>
        <v>7.38086</v>
      </c>
      <c r="E172" s="25">
        <f>F172</f>
        <v>7.38086</v>
      </c>
      <c r="F172" s="25">
        <f>ROUND(7.38086,5)</f>
        <v>7.38086</v>
      </c>
      <c r="G172" s="24"/>
      <c r="H172" s="36"/>
    </row>
    <row r="173" spans="1:8" ht="12.75" customHeight="1">
      <c r="A173" s="22">
        <v>43314</v>
      </c>
      <c r="B173" s="22"/>
      <c r="C173" s="25">
        <f>ROUND(7.49,5)</f>
        <v>7.49</v>
      </c>
      <c r="D173" s="25">
        <f>F173</f>
        <v>7.34354</v>
      </c>
      <c r="E173" s="25">
        <f>F173</f>
        <v>7.34354</v>
      </c>
      <c r="F173" s="25">
        <f>ROUND(7.34354,5)</f>
        <v>7.34354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42950</v>
      </c>
      <c r="B175" s="22"/>
      <c r="C175" s="25">
        <f>ROUND(9.36,5)</f>
        <v>9.36</v>
      </c>
      <c r="D175" s="25">
        <f>F175</f>
        <v>9.38679</v>
      </c>
      <c r="E175" s="25">
        <f>F175</f>
        <v>9.38679</v>
      </c>
      <c r="F175" s="25">
        <f>ROUND(9.38679,5)</f>
        <v>9.38679</v>
      </c>
      <c r="G175" s="24"/>
      <c r="H175" s="36"/>
    </row>
    <row r="176" spans="1:8" ht="12.75" customHeight="1">
      <c r="A176" s="22">
        <v>43041</v>
      </c>
      <c r="B176" s="22"/>
      <c r="C176" s="25">
        <f>ROUND(9.36,5)</f>
        <v>9.36</v>
      </c>
      <c r="D176" s="25">
        <f>F176</f>
        <v>9.42978</v>
      </c>
      <c r="E176" s="25">
        <f>F176</f>
        <v>9.42978</v>
      </c>
      <c r="F176" s="25">
        <f>ROUND(9.42978,5)</f>
        <v>9.42978</v>
      </c>
      <c r="G176" s="24"/>
      <c r="H176" s="36"/>
    </row>
    <row r="177" spans="1:8" ht="12.75" customHeight="1">
      <c r="A177" s="22">
        <v>43132</v>
      </c>
      <c r="B177" s="22"/>
      <c r="C177" s="25">
        <f>ROUND(9.36,5)</f>
        <v>9.36</v>
      </c>
      <c r="D177" s="25">
        <f>F177</f>
        <v>9.47117</v>
      </c>
      <c r="E177" s="25">
        <f>F177</f>
        <v>9.47117</v>
      </c>
      <c r="F177" s="25">
        <f>ROUND(9.47117,5)</f>
        <v>9.47117</v>
      </c>
      <c r="G177" s="24"/>
      <c r="H177" s="36"/>
    </row>
    <row r="178" spans="1:8" ht="12.75" customHeight="1">
      <c r="A178" s="22">
        <v>43223</v>
      </c>
      <c r="B178" s="22"/>
      <c r="C178" s="25">
        <f>ROUND(9.36,5)</f>
        <v>9.36</v>
      </c>
      <c r="D178" s="25">
        <f>F178</f>
        <v>9.51319</v>
      </c>
      <c r="E178" s="25">
        <f>F178</f>
        <v>9.51319</v>
      </c>
      <c r="F178" s="25">
        <f>ROUND(9.51319,5)</f>
        <v>9.51319</v>
      </c>
      <c r="G178" s="24"/>
      <c r="H178" s="36"/>
    </row>
    <row r="179" spans="1:8" ht="12.75" customHeight="1">
      <c r="A179" s="22">
        <v>43314</v>
      </c>
      <c r="B179" s="22"/>
      <c r="C179" s="25">
        <f>ROUND(9.36,5)</f>
        <v>9.36</v>
      </c>
      <c r="D179" s="25">
        <f>F179</f>
        <v>9.56036</v>
      </c>
      <c r="E179" s="25">
        <f>F179</f>
        <v>9.56036</v>
      </c>
      <c r="F179" s="25">
        <f>ROUND(9.56036,5)</f>
        <v>9.56036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42950</v>
      </c>
      <c r="B181" s="22"/>
      <c r="C181" s="25">
        <f>ROUND(2.43,5)</f>
        <v>2.43</v>
      </c>
      <c r="D181" s="25">
        <f>F181</f>
        <v>186.41274</v>
      </c>
      <c r="E181" s="25">
        <f>F181</f>
        <v>186.41274</v>
      </c>
      <c r="F181" s="25">
        <f>ROUND(186.41274,5)</f>
        <v>186.41274</v>
      </c>
      <c r="G181" s="24"/>
      <c r="H181" s="36"/>
    </row>
    <row r="182" spans="1:8" ht="12.75" customHeight="1">
      <c r="A182" s="22">
        <v>43041</v>
      </c>
      <c r="B182" s="22"/>
      <c r="C182" s="25">
        <f>ROUND(2.43,5)</f>
        <v>2.43</v>
      </c>
      <c r="D182" s="25">
        <f>F182</f>
        <v>187.62308</v>
      </c>
      <c r="E182" s="25">
        <f>F182</f>
        <v>187.62308</v>
      </c>
      <c r="F182" s="25">
        <f>ROUND(187.62308,5)</f>
        <v>187.62308</v>
      </c>
      <c r="G182" s="24"/>
      <c r="H182" s="36"/>
    </row>
    <row r="183" spans="1:8" ht="12.75" customHeight="1">
      <c r="A183" s="22">
        <v>43132</v>
      </c>
      <c r="B183" s="22"/>
      <c r="C183" s="25">
        <f>ROUND(2.43,5)</f>
        <v>2.43</v>
      </c>
      <c r="D183" s="25">
        <f>F183</f>
        <v>191.35666</v>
      </c>
      <c r="E183" s="25">
        <f>F183</f>
        <v>191.35666</v>
      </c>
      <c r="F183" s="25">
        <f>ROUND(191.35666,5)</f>
        <v>191.35666</v>
      </c>
      <c r="G183" s="24"/>
      <c r="H183" s="36"/>
    </row>
    <row r="184" spans="1:8" ht="12.75" customHeight="1">
      <c r="A184" s="22">
        <v>43223</v>
      </c>
      <c r="B184" s="22"/>
      <c r="C184" s="25">
        <f>ROUND(2.43,5)</f>
        <v>2.43</v>
      </c>
      <c r="D184" s="25">
        <f>F184</f>
        <v>192.76618</v>
      </c>
      <c r="E184" s="25">
        <f>F184</f>
        <v>192.76618</v>
      </c>
      <c r="F184" s="25">
        <f>ROUND(192.76618,5)</f>
        <v>192.76618</v>
      </c>
      <c r="G184" s="24"/>
      <c r="H184" s="36"/>
    </row>
    <row r="185" spans="1:8" ht="12.75" customHeight="1">
      <c r="A185" s="22">
        <v>43314</v>
      </c>
      <c r="B185" s="22"/>
      <c r="C185" s="25">
        <f>ROUND(2.43,5)</f>
        <v>2.43</v>
      </c>
      <c r="D185" s="25">
        <f>F185</f>
        <v>196.47078</v>
      </c>
      <c r="E185" s="25">
        <f>F185</f>
        <v>196.47078</v>
      </c>
      <c r="F185" s="25">
        <f>ROUND(196.47078,5)</f>
        <v>196.47078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42950</v>
      </c>
      <c r="B187" s="22"/>
      <c r="C187" s="25">
        <f>ROUND(0,5)</f>
        <v>0</v>
      </c>
      <c r="D187" s="25">
        <f>F187</f>
        <v>141.66256</v>
      </c>
      <c r="E187" s="25">
        <f>F187</f>
        <v>141.66256</v>
      </c>
      <c r="F187" s="25">
        <f>ROUND(141.66256,5)</f>
        <v>141.66256</v>
      </c>
      <c r="G187" s="24"/>
      <c r="H187" s="36"/>
    </row>
    <row r="188" spans="1:8" ht="12.75" customHeight="1">
      <c r="A188" s="22">
        <v>43041</v>
      </c>
      <c r="B188" s="22"/>
      <c r="C188" s="25">
        <f>ROUND(0,5)</f>
        <v>0</v>
      </c>
      <c r="D188" s="25">
        <f>F188</f>
        <v>141.66256</v>
      </c>
      <c r="E188" s="25">
        <f>F188</f>
        <v>141.66256</v>
      </c>
      <c r="F188" s="25">
        <f>ROUND(141.66256,5)</f>
        <v>141.66256</v>
      </c>
      <c r="G188" s="24"/>
      <c r="H188" s="36"/>
    </row>
    <row r="189" spans="1:8" ht="12.75" customHeight="1">
      <c r="A189" s="22" t="s">
        <v>55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42950</v>
      </c>
      <c r="B190" s="22"/>
      <c r="C190" s="25">
        <f>ROUND(2.445,5)</f>
        <v>2.445</v>
      </c>
      <c r="D190" s="25">
        <f>F190</f>
        <v>148.65324</v>
      </c>
      <c r="E190" s="25">
        <f>F190</f>
        <v>148.65324</v>
      </c>
      <c r="F190" s="25">
        <f>ROUND(148.65324,5)</f>
        <v>148.65324</v>
      </c>
      <c r="G190" s="24"/>
      <c r="H190" s="36"/>
    </row>
    <row r="191" spans="1:8" ht="12.75" customHeight="1">
      <c r="A191" s="22">
        <v>43041</v>
      </c>
      <c r="B191" s="22"/>
      <c r="C191" s="25">
        <f>ROUND(2.445,5)</f>
        <v>2.445</v>
      </c>
      <c r="D191" s="25">
        <f>F191</f>
        <v>151.53237</v>
      </c>
      <c r="E191" s="25">
        <f>F191</f>
        <v>151.53237</v>
      </c>
      <c r="F191" s="25">
        <f>ROUND(151.53237,5)</f>
        <v>151.53237</v>
      </c>
      <c r="G191" s="24"/>
      <c r="H191" s="36"/>
    </row>
    <row r="192" spans="1:8" ht="12.75" customHeight="1">
      <c r="A192" s="22">
        <v>43132</v>
      </c>
      <c r="B192" s="22"/>
      <c r="C192" s="25">
        <f>ROUND(2.445,5)</f>
        <v>2.445</v>
      </c>
      <c r="D192" s="25">
        <f>F192</f>
        <v>152.4875</v>
      </c>
      <c r="E192" s="25">
        <f>F192</f>
        <v>152.4875</v>
      </c>
      <c r="F192" s="25">
        <f>ROUND(152.4875,5)</f>
        <v>152.4875</v>
      </c>
      <c r="G192" s="24"/>
      <c r="H192" s="36"/>
    </row>
    <row r="193" spans="1:8" ht="12.75" customHeight="1">
      <c r="A193" s="22">
        <v>43223</v>
      </c>
      <c r="B193" s="22"/>
      <c r="C193" s="25">
        <f>ROUND(2.445,5)</f>
        <v>2.445</v>
      </c>
      <c r="D193" s="25">
        <f>F193</f>
        <v>155.56283</v>
      </c>
      <c r="E193" s="25">
        <f>F193</f>
        <v>155.56283</v>
      </c>
      <c r="F193" s="25">
        <f>ROUND(155.56283,5)</f>
        <v>155.56283</v>
      </c>
      <c r="G193" s="24"/>
      <c r="H193" s="36"/>
    </row>
    <row r="194" spans="1:8" ht="12.75" customHeight="1">
      <c r="A194" s="22">
        <v>43314</v>
      </c>
      <c r="B194" s="22"/>
      <c r="C194" s="25">
        <f>ROUND(2.445,5)</f>
        <v>2.445</v>
      </c>
      <c r="D194" s="25">
        <f>F194</f>
        <v>158.55312</v>
      </c>
      <c r="E194" s="25">
        <f>F194</f>
        <v>158.55312</v>
      </c>
      <c r="F194" s="25">
        <f>ROUND(158.55312,5)</f>
        <v>158.55312</v>
      </c>
      <c r="G194" s="24"/>
      <c r="H194" s="36"/>
    </row>
    <row r="195" spans="1:8" ht="12.75" customHeight="1">
      <c r="A195" s="22" t="s">
        <v>56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42950</v>
      </c>
      <c r="B196" s="22"/>
      <c r="C196" s="25">
        <f>ROUND(9.065,5)</f>
        <v>9.065</v>
      </c>
      <c r="D196" s="25">
        <f>F196</f>
        <v>9.09009</v>
      </c>
      <c r="E196" s="25">
        <f>F196</f>
        <v>9.09009</v>
      </c>
      <c r="F196" s="25">
        <f>ROUND(9.09009,5)</f>
        <v>9.09009</v>
      </c>
      <c r="G196" s="24"/>
      <c r="H196" s="36"/>
    </row>
    <row r="197" spans="1:8" ht="12.75" customHeight="1">
      <c r="A197" s="22">
        <v>43041</v>
      </c>
      <c r="B197" s="22"/>
      <c r="C197" s="25">
        <f>ROUND(9.065,5)</f>
        <v>9.065</v>
      </c>
      <c r="D197" s="25">
        <f>F197</f>
        <v>9.13229</v>
      </c>
      <c r="E197" s="25">
        <f>F197</f>
        <v>9.13229</v>
      </c>
      <c r="F197" s="25">
        <f>ROUND(9.13229,5)</f>
        <v>9.13229</v>
      </c>
      <c r="G197" s="24"/>
      <c r="H197" s="36"/>
    </row>
    <row r="198" spans="1:8" ht="12.75" customHeight="1">
      <c r="A198" s="22">
        <v>43132</v>
      </c>
      <c r="B198" s="22"/>
      <c r="C198" s="25">
        <f>ROUND(9.065,5)</f>
        <v>9.065</v>
      </c>
      <c r="D198" s="25">
        <f>F198</f>
        <v>9.17362</v>
      </c>
      <c r="E198" s="25">
        <f>F198</f>
        <v>9.17362</v>
      </c>
      <c r="F198" s="25">
        <f>ROUND(9.17362,5)</f>
        <v>9.17362</v>
      </c>
      <c r="G198" s="24"/>
      <c r="H198" s="36"/>
    </row>
    <row r="199" spans="1:8" ht="12.75" customHeight="1">
      <c r="A199" s="22">
        <v>43223</v>
      </c>
      <c r="B199" s="22"/>
      <c r="C199" s="25">
        <f>ROUND(9.065,5)</f>
        <v>9.065</v>
      </c>
      <c r="D199" s="25">
        <f>F199</f>
        <v>9.21229</v>
      </c>
      <c r="E199" s="25">
        <f>F199</f>
        <v>9.21229</v>
      </c>
      <c r="F199" s="25">
        <f>ROUND(9.21229,5)</f>
        <v>9.21229</v>
      </c>
      <c r="G199" s="24"/>
      <c r="H199" s="36"/>
    </row>
    <row r="200" spans="1:8" ht="12.75" customHeight="1">
      <c r="A200" s="22">
        <v>43314</v>
      </c>
      <c r="B200" s="22"/>
      <c r="C200" s="25">
        <f>ROUND(9.065,5)</f>
        <v>9.065</v>
      </c>
      <c r="D200" s="25">
        <f>F200</f>
        <v>9.25735</v>
      </c>
      <c r="E200" s="25">
        <f>F200</f>
        <v>9.25735</v>
      </c>
      <c r="F200" s="25">
        <f>ROUND(9.25735,5)</f>
        <v>9.25735</v>
      </c>
      <c r="G200" s="24"/>
      <c r="H200" s="36"/>
    </row>
    <row r="201" spans="1:8" ht="12.75" customHeight="1">
      <c r="A201" s="22" t="s">
        <v>57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42950</v>
      </c>
      <c r="B202" s="22"/>
      <c r="C202" s="25">
        <f>ROUND(9.515,5)</f>
        <v>9.515</v>
      </c>
      <c r="D202" s="25">
        <f>F202</f>
        <v>9.54224</v>
      </c>
      <c r="E202" s="25">
        <f>F202</f>
        <v>9.54224</v>
      </c>
      <c r="F202" s="25">
        <f>ROUND(9.54224,5)</f>
        <v>9.54224</v>
      </c>
      <c r="G202" s="24"/>
      <c r="H202" s="36"/>
    </row>
    <row r="203" spans="1:8" ht="12.75" customHeight="1">
      <c r="A203" s="22">
        <v>43041</v>
      </c>
      <c r="B203" s="22"/>
      <c r="C203" s="25">
        <f>ROUND(9.515,5)</f>
        <v>9.515</v>
      </c>
      <c r="D203" s="25">
        <f>F203</f>
        <v>9.58775</v>
      </c>
      <c r="E203" s="25">
        <f>F203</f>
        <v>9.58775</v>
      </c>
      <c r="F203" s="25">
        <f>ROUND(9.58775,5)</f>
        <v>9.58775</v>
      </c>
      <c r="G203" s="24"/>
      <c r="H203" s="36"/>
    </row>
    <row r="204" spans="1:8" ht="12.75" customHeight="1">
      <c r="A204" s="22">
        <v>43132</v>
      </c>
      <c r="B204" s="22"/>
      <c r="C204" s="25">
        <f>ROUND(9.515,5)</f>
        <v>9.515</v>
      </c>
      <c r="D204" s="25">
        <f>F204</f>
        <v>9.63269</v>
      </c>
      <c r="E204" s="25">
        <f>F204</f>
        <v>9.63269</v>
      </c>
      <c r="F204" s="25">
        <f>ROUND(9.63269,5)</f>
        <v>9.63269</v>
      </c>
      <c r="G204" s="24"/>
      <c r="H204" s="36"/>
    </row>
    <row r="205" spans="1:8" ht="12.75" customHeight="1">
      <c r="A205" s="22">
        <v>43223</v>
      </c>
      <c r="B205" s="22"/>
      <c r="C205" s="25">
        <f>ROUND(9.515,5)</f>
        <v>9.515</v>
      </c>
      <c r="D205" s="25">
        <f>F205</f>
        <v>9.67515</v>
      </c>
      <c r="E205" s="25">
        <f>F205</f>
        <v>9.67515</v>
      </c>
      <c r="F205" s="25">
        <f>ROUND(9.67515,5)</f>
        <v>9.67515</v>
      </c>
      <c r="G205" s="24"/>
      <c r="H205" s="36"/>
    </row>
    <row r="206" spans="1:8" ht="12.75" customHeight="1">
      <c r="A206" s="22">
        <v>43314</v>
      </c>
      <c r="B206" s="22"/>
      <c r="C206" s="25">
        <f>ROUND(9.515,5)</f>
        <v>9.515</v>
      </c>
      <c r="D206" s="25">
        <f>F206</f>
        <v>9.72279</v>
      </c>
      <c r="E206" s="25">
        <f>F206</f>
        <v>9.72279</v>
      </c>
      <c r="F206" s="25">
        <f>ROUND(9.72279,5)</f>
        <v>9.72279</v>
      </c>
      <c r="G206" s="24"/>
      <c r="H206" s="36"/>
    </row>
    <row r="207" spans="1:8" ht="12.75" customHeight="1">
      <c r="A207" s="22" t="s">
        <v>58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42950</v>
      </c>
      <c r="B208" s="22"/>
      <c r="C208" s="25">
        <f>ROUND(9.615,5)</f>
        <v>9.615</v>
      </c>
      <c r="D208" s="25">
        <f>F208</f>
        <v>9.64398</v>
      </c>
      <c r="E208" s="25">
        <f>F208</f>
        <v>9.64398</v>
      </c>
      <c r="F208" s="25">
        <f>ROUND(9.64398,5)</f>
        <v>9.64398</v>
      </c>
      <c r="G208" s="24"/>
      <c r="H208" s="36"/>
    </row>
    <row r="209" spans="1:8" ht="12.75" customHeight="1">
      <c r="A209" s="22">
        <v>43041</v>
      </c>
      <c r="B209" s="22"/>
      <c r="C209" s="25">
        <f>ROUND(9.615,5)</f>
        <v>9.615</v>
      </c>
      <c r="D209" s="25">
        <f>F209</f>
        <v>9.69239</v>
      </c>
      <c r="E209" s="25">
        <f>F209</f>
        <v>9.69239</v>
      </c>
      <c r="F209" s="25">
        <f>ROUND(9.69239,5)</f>
        <v>9.69239</v>
      </c>
      <c r="G209" s="24"/>
      <c r="H209" s="36"/>
    </row>
    <row r="210" spans="1:8" ht="12.75" customHeight="1">
      <c r="A210" s="22">
        <v>43132</v>
      </c>
      <c r="B210" s="22"/>
      <c r="C210" s="25">
        <f>ROUND(9.615,5)</f>
        <v>9.615</v>
      </c>
      <c r="D210" s="25">
        <f>F210</f>
        <v>9.74037</v>
      </c>
      <c r="E210" s="25">
        <f>F210</f>
        <v>9.74037</v>
      </c>
      <c r="F210" s="25">
        <f>ROUND(9.74037,5)</f>
        <v>9.74037</v>
      </c>
      <c r="G210" s="24"/>
      <c r="H210" s="36"/>
    </row>
    <row r="211" spans="1:8" ht="12.75" customHeight="1">
      <c r="A211" s="22">
        <v>43223</v>
      </c>
      <c r="B211" s="22"/>
      <c r="C211" s="25">
        <f>ROUND(9.615,5)</f>
        <v>9.615</v>
      </c>
      <c r="D211" s="25">
        <f>F211</f>
        <v>9.78583</v>
      </c>
      <c r="E211" s="25">
        <f>F211</f>
        <v>9.78583</v>
      </c>
      <c r="F211" s="25">
        <f>ROUND(9.78583,5)</f>
        <v>9.78583</v>
      </c>
      <c r="G211" s="24"/>
      <c r="H211" s="36"/>
    </row>
    <row r="212" spans="1:8" ht="12.75" customHeight="1">
      <c r="A212" s="22">
        <v>43314</v>
      </c>
      <c r="B212" s="22"/>
      <c r="C212" s="25">
        <f>ROUND(9.615,5)</f>
        <v>9.615</v>
      </c>
      <c r="D212" s="25">
        <f>F212</f>
        <v>9.83666</v>
      </c>
      <c r="E212" s="25">
        <f>F212</f>
        <v>9.83666</v>
      </c>
      <c r="F212" s="25">
        <f>ROUND(9.83666,5)</f>
        <v>9.83666</v>
      </c>
      <c r="G212" s="24"/>
      <c r="H212" s="36"/>
    </row>
    <row r="213" spans="1:8" ht="12.75" customHeight="1">
      <c r="A213" s="22" t="s">
        <v>59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42916</v>
      </c>
      <c r="B214" s="22"/>
      <c r="C214" s="26">
        <f>ROUND(14.3971805833333,4)</f>
        <v>14.3972</v>
      </c>
      <c r="D214" s="26">
        <f>F214</f>
        <v>14.4514</v>
      </c>
      <c r="E214" s="26">
        <f>F214</f>
        <v>14.4514</v>
      </c>
      <c r="F214" s="26">
        <f>ROUND(14.4514,4)</f>
        <v>14.4514</v>
      </c>
      <c r="G214" s="24"/>
      <c r="H214" s="36"/>
    </row>
    <row r="215" spans="1:8" ht="12.75" customHeight="1">
      <c r="A215" s="22" t="s">
        <v>60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42916</v>
      </c>
      <c r="B216" s="22"/>
      <c r="C216" s="26">
        <f>ROUND(16.3958949583333,4)</f>
        <v>16.3959</v>
      </c>
      <c r="D216" s="26">
        <f>F216</f>
        <v>16.452</v>
      </c>
      <c r="E216" s="26">
        <f>F216</f>
        <v>16.452</v>
      </c>
      <c r="F216" s="26">
        <f>ROUND(16.452,4)</f>
        <v>16.452</v>
      </c>
      <c r="G216" s="24"/>
      <c r="H216" s="36"/>
    </row>
    <row r="217" spans="1:8" ht="12.75" customHeight="1">
      <c r="A217" s="22" t="s">
        <v>61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42895</v>
      </c>
      <c r="B218" s="22"/>
      <c r="C218" s="26">
        <f>ROUND(12.8741666666667,4)</f>
        <v>12.8742</v>
      </c>
      <c r="D218" s="26">
        <f>F218</f>
        <v>12.8995</v>
      </c>
      <c r="E218" s="26">
        <f>F218</f>
        <v>12.8995</v>
      </c>
      <c r="F218" s="26">
        <f>ROUND(12.8995,4)</f>
        <v>12.8995</v>
      </c>
      <c r="G218" s="24"/>
      <c r="H218" s="36"/>
    </row>
    <row r="219" spans="1:8" ht="12.75" customHeight="1">
      <c r="A219" s="22">
        <v>42898</v>
      </c>
      <c r="B219" s="22"/>
      <c r="C219" s="26">
        <f>ROUND(12.8741666666667,4)</f>
        <v>12.8742</v>
      </c>
      <c r="D219" s="26">
        <f>F219</f>
        <v>12.8765</v>
      </c>
      <c r="E219" s="26">
        <f>F219</f>
        <v>12.8765</v>
      </c>
      <c r="F219" s="26">
        <f>ROUND(12.8765,4)</f>
        <v>12.8765</v>
      </c>
      <c r="G219" s="24"/>
      <c r="H219" s="36"/>
    </row>
    <row r="220" spans="1:8" ht="12.75" customHeight="1">
      <c r="A220" s="22">
        <v>42901</v>
      </c>
      <c r="B220" s="22"/>
      <c r="C220" s="26">
        <f>ROUND(12.8741666666667,4)</f>
        <v>12.8742</v>
      </c>
      <c r="D220" s="26">
        <f>F220</f>
        <v>12.8785</v>
      </c>
      <c r="E220" s="26">
        <f>F220</f>
        <v>12.8785</v>
      </c>
      <c r="F220" s="26">
        <f>ROUND(12.8785,4)</f>
        <v>12.8785</v>
      </c>
      <c r="G220" s="24"/>
      <c r="H220" s="36"/>
    </row>
    <row r="221" spans="1:8" ht="12.75" customHeight="1">
      <c r="A221" s="22">
        <v>42914</v>
      </c>
      <c r="B221" s="22"/>
      <c r="C221" s="26">
        <f>ROUND(12.8741666666667,4)</f>
        <v>12.8742</v>
      </c>
      <c r="D221" s="26">
        <f>F221</f>
        <v>12.9065</v>
      </c>
      <c r="E221" s="26">
        <f>F221</f>
        <v>12.9065</v>
      </c>
      <c r="F221" s="26">
        <f>ROUND(12.9065,4)</f>
        <v>12.9065</v>
      </c>
      <c r="G221" s="24"/>
      <c r="H221" s="36"/>
    </row>
    <row r="222" spans="1:8" ht="12.75" customHeight="1">
      <c r="A222" s="22">
        <v>42916</v>
      </c>
      <c r="B222" s="22"/>
      <c r="C222" s="26">
        <f>ROUND(12.8741666666667,4)</f>
        <v>12.8742</v>
      </c>
      <c r="D222" s="26">
        <f>F222</f>
        <v>12.9111</v>
      </c>
      <c r="E222" s="26">
        <f>F222</f>
        <v>12.9111</v>
      </c>
      <c r="F222" s="26">
        <f>ROUND(12.9111,4)</f>
        <v>12.9111</v>
      </c>
      <c r="G222" s="24"/>
      <c r="H222" s="36"/>
    </row>
    <row r="223" spans="1:8" ht="12.75" customHeight="1">
      <c r="A223" s="22">
        <v>42921</v>
      </c>
      <c r="B223" s="22"/>
      <c r="C223" s="26">
        <f>ROUND(12.8741666666667,4)</f>
        <v>12.8742</v>
      </c>
      <c r="D223" s="26">
        <f>F223</f>
        <v>12.9226</v>
      </c>
      <c r="E223" s="26">
        <f>F223</f>
        <v>12.9226</v>
      </c>
      <c r="F223" s="26">
        <f>ROUND(12.9226,4)</f>
        <v>12.9226</v>
      </c>
      <c r="G223" s="24"/>
      <c r="H223" s="36"/>
    </row>
    <row r="224" spans="1:8" ht="12.75" customHeight="1">
      <c r="A224" s="22">
        <v>42923</v>
      </c>
      <c r="B224" s="22"/>
      <c r="C224" s="26">
        <f>ROUND(12.8741666666667,4)</f>
        <v>12.8742</v>
      </c>
      <c r="D224" s="26">
        <f>F224</f>
        <v>12.9272</v>
      </c>
      <c r="E224" s="26">
        <f>F224</f>
        <v>12.9272</v>
      </c>
      <c r="F224" s="26">
        <f>ROUND(12.9272,4)</f>
        <v>12.9272</v>
      </c>
      <c r="G224" s="24"/>
      <c r="H224" s="36"/>
    </row>
    <row r="225" spans="1:8" ht="12.75" customHeight="1">
      <c r="A225" s="22">
        <v>42926</v>
      </c>
      <c r="B225" s="22"/>
      <c r="C225" s="26">
        <f>ROUND(12.8741666666667,4)</f>
        <v>12.8742</v>
      </c>
      <c r="D225" s="26">
        <f>F225</f>
        <v>12.9341</v>
      </c>
      <c r="E225" s="26">
        <f>F225</f>
        <v>12.9341</v>
      </c>
      <c r="F225" s="26">
        <f>ROUND(12.9341,4)</f>
        <v>12.9341</v>
      </c>
      <c r="G225" s="24"/>
      <c r="H225" s="36"/>
    </row>
    <row r="226" spans="1:8" ht="12.75" customHeight="1">
      <c r="A226" s="22">
        <v>42928</v>
      </c>
      <c r="B226" s="22"/>
      <c r="C226" s="26">
        <f>ROUND(12.8741666666667,4)</f>
        <v>12.8742</v>
      </c>
      <c r="D226" s="26">
        <f>F226</f>
        <v>12.9388</v>
      </c>
      <c r="E226" s="26">
        <f>F226</f>
        <v>12.9388</v>
      </c>
      <c r="F226" s="26">
        <f>ROUND(12.9388,4)</f>
        <v>12.9388</v>
      </c>
      <c r="G226" s="24"/>
      <c r="H226" s="36"/>
    </row>
    <row r="227" spans="1:8" ht="12.75" customHeight="1">
      <c r="A227" s="22">
        <v>42930</v>
      </c>
      <c r="B227" s="22"/>
      <c r="C227" s="26">
        <f>ROUND(12.8741666666667,4)</f>
        <v>12.8742</v>
      </c>
      <c r="D227" s="26">
        <f>F227</f>
        <v>12.9432</v>
      </c>
      <c r="E227" s="26">
        <f>F227</f>
        <v>12.9432</v>
      </c>
      <c r="F227" s="26">
        <f>ROUND(12.9432,4)</f>
        <v>12.9432</v>
      </c>
      <c r="G227" s="24"/>
      <c r="H227" s="36"/>
    </row>
    <row r="228" spans="1:8" ht="12.75" customHeight="1">
      <c r="A228" s="22">
        <v>42933</v>
      </c>
      <c r="B228" s="22"/>
      <c r="C228" s="26">
        <f>ROUND(12.8741666666667,4)</f>
        <v>12.8742</v>
      </c>
      <c r="D228" s="26">
        <f>F228</f>
        <v>12.9497</v>
      </c>
      <c r="E228" s="26">
        <f>F228</f>
        <v>12.9497</v>
      </c>
      <c r="F228" s="26">
        <f>ROUND(12.9497,4)</f>
        <v>12.9497</v>
      </c>
      <c r="G228" s="24"/>
      <c r="H228" s="36"/>
    </row>
    <row r="229" spans="1:8" ht="12.75" customHeight="1">
      <c r="A229" s="22">
        <v>42935</v>
      </c>
      <c r="B229" s="22"/>
      <c r="C229" s="26">
        <f>ROUND(12.8741666666667,4)</f>
        <v>12.8742</v>
      </c>
      <c r="D229" s="26">
        <f>F229</f>
        <v>12.9541</v>
      </c>
      <c r="E229" s="26">
        <f>F229</f>
        <v>12.9541</v>
      </c>
      <c r="F229" s="26">
        <f>ROUND(12.9541,4)</f>
        <v>12.9541</v>
      </c>
      <c r="G229" s="24"/>
      <c r="H229" s="36"/>
    </row>
    <row r="230" spans="1:8" ht="12.75" customHeight="1">
      <c r="A230" s="22">
        <v>42937</v>
      </c>
      <c r="B230" s="22"/>
      <c r="C230" s="26">
        <f>ROUND(12.8741666666667,4)</f>
        <v>12.8742</v>
      </c>
      <c r="D230" s="26">
        <f>F230</f>
        <v>12.9584</v>
      </c>
      <c r="E230" s="26">
        <f>F230</f>
        <v>12.9584</v>
      </c>
      <c r="F230" s="26">
        <f>ROUND(12.9584,4)</f>
        <v>12.9584</v>
      </c>
      <c r="G230" s="24"/>
      <c r="H230" s="36"/>
    </row>
    <row r="231" spans="1:8" ht="12.75" customHeight="1">
      <c r="A231" s="22">
        <v>42941</v>
      </c>
      <c r="B231" s="22"/>
      <c r="C231" s="26">
        <f>ROUND(12.8741666666667,4)</f>
        <v>12.8742</v>
      </c>
      <c r="D231" s="26">
        <f>F231</f>
        <v>12.9671</v>
      </c>
      <c r="E231" s="26">
        <f>F231</f>
        <v>12.9671</v>
      </c>
      <c r="F231" s="26">
        <f>ROUND(12.9671,4)</f>
        <v>12.9671</v>
      </c>
      <c r="G231" s="24"/>
      <c r="H231" s="36"/>
    </row>
    <row r="232" spans="1:8" ht="12.75" customHeight="1">
      <c r="A232" s="22">
        <v>42943</v>
      </c>
      <c r="B232" s="22"/>
      <c r="C232" s="26">
        <f>ROUND(12.8741666666667,4)</f>
        <v>12.8742</v>
      </c>
      <c r="D232" s="26">
        <f>F232</f>
        <v>12.9714</v>
      </c>
      <c r="E232" s="26">
        <f>F232</f>
        <v>12.9714</v>
      </c>
      <c r="F232" s="26">
        <f>ROUND(12.9714,4)</f>
        <v>12.9714</v>
      </c>
      <c r="G232" s="24"/>
      <c r="H232" s="36"/>
    </row>
    <row r="233" spans="1:8" ht="12.75" customHeight="1">
      <c r="A233" s="22">
        <v>42947</v>
      </c>
      <c r="B233" s="22"/>
      <c r="C233" s="26">
        <f>ROUND(12.8741666666667,4)</f>
        <v>12.8742</v>
      </c>
      <c r="D233" s="26">
        <f>F233</f>
        <v>12.9801</v>
      </c>
      <c r="E233" s="26">
        <f>F233</f>
        <v>12.9801</v>
      </c>
      <c r="F233" s="26">
        <f>ROUND(12.9801,4)</f>
        <v>12.9801</v>
      </c>
      <c r="G233" s="24"/>
      <c r="H233" s="36"/>
    </row>
    <row r="234" spans="1:8" ht="12.75" customHeight="1">
      <c r="A234" s="22">
        <v>42951</v>
      </c>
      <c r="B234" s="22"/>
      <c r="C234" s="26">
        <f>ROUND(12.8741666666667,4)</f>
        <v>12.8742</v>
      </c>
      <c r="D234" s="26">
        <f>F234</f>
        <v>12.9887</v>
      </c>
      <c r="E234" s="26">
        <f>F234</f>
        <v>12.9887</v>
      </c>
      <c r="F234" s="26">
        <f>ROUND(12.9887,4)</f>
        <v>12.9887</v>
      </c>
      <c r="G234" s="24"/>
      <c r="H234" s="36"/>
    </row>
    <row r="235" spans="1:8" ht="12.75" customHeight="1">
      <c r="A235" s="22">
        <v>42958</v>
      </c>
      <c r="B235" s="22"/>
      <c r="C235" s="26">
        <f>ROUND(12.8741666666667,4)</f>
        <v>12.8742</v>
      </c>
      <c r="D235" s="26">
        <f>F235</f>
        <v>13.0039</v>
      </c>
      <c r="E235" s="26">
        <f>F235</f>
        <v>13.0039</v>
      </c>
      <c r="F235" s="26">
        <f>ROUND(13.0039,4)</f>
        <v>13.0039</v>
      </c>
      <c r="G235" s="24"/>
      <c r="H235" s="36"/>
    </row>
    <row r="236" spans="1:8" ht="12.75" customHeight="1">
      <c r="A236" s="22">
        <v>42964</v>
      </c>
      <c r="B236" s="22"/>
      <c r="C236" s="26">
        <f>ROUND(12.8741666666667,4)</f>
        <v>12.8742</v>
      </c>
      <c r="D236" s="26">
        <f>F236</f>
        <v>13.0168</v>
      </c>
      <c r="E236" s="26">
        <f>F236</f>
        <v>13.0168</v>
      </c>
      <c r="F236" s="26">
        <f>ROUND(13.0168,4)</f>
        <v>13.0168</v>
      </c>
      <c r="G236" s="24"/>
      <c r="H236" s="36"/>
    </row>
    <row r="237" spans="1:8" ht="12.75" customHeight="1">
      <c r="A237" s="22">
        <v>42976</v>
      </c>
      <c r="B237" s="22"/>
      <c r="C237" s="26">
        <f>ROUND(12.8741666666667,4)</f>
        <v>12.8742</v>
      </c>
      <c r="D237" s="26">
        <f>F237</f>
        <v>13.0421</v>
      </c>
      <c r="E237" s="26">
        <f>F237</f>
        <v>13.0421</v>
      </c>
      <c r="F237" s="26">
        <f>ROUND(13.0421,4)</f>
        <v>13.0421</v>
      </c>
      <c r="G237" s="24"/>
      <c r="H237" s="36"/>
    </row>
    <row r="238" spans="1:8" ht="12.75" customHeight="1">
      <c r="A238" s="22">
        <v>43005</v>
      </c>
      <c r="B238" s="22"/>
      <c r="C238" s="26">
        <f>ROUND(12.8741666666667,4)</f>
        <v>12.8742</v>
      </c>
      <c r="D238" s="26">
        <f>F238</f>
        <v>13.1034</v>
      </c>
      <c r="E238" s="26">
        <f>F238</f>
        <v>13.1034</v>
      </c>
      <c r="F238" s="26">
        <f>ROUND(13.1034,4)</f>
        <v>13.1034</v>
      </c>
      <c r="G238" s="24"/>
      <c r="H238" s="36"/>
    </row>
    <row r="239" spans="1:8" ht="12.75" customHeight="1">
      <c r="A239" s="22">
        <v>43006</v>
      </c>
      <c r="B239" s="22"/>
      <c r="C239" s="26">
        <f>ROUND(12.8741666666667,4)</f>
        <v>12.8742</v>
      </c>
      <c r="D239" s="26">
        <f>F239</f>
        <v>13.1055</v>
      </c>
      <c r="E239" s="26">
        <f>F239</f>
        <v>13.1055</v>
      </c>
      <c r="F239" s="26">
        <f>ROUND(13.1055,4)</f>
        <v>13.1055</v>
      </c>
      <c r="G239" s="24"/>
      <c r="H239" s="36"/>
    </row>
    <row r="240" spans="1:8" ht="12.75" customHeight="1">
      <c r="A240" s="22">
        <v>43031</v>
      </c>
      <c r="B240" s="22"/>
      <c r="C240" s="26">
        <f>ROUND(12.8741666666667,4)</f>
        <v>12.8742</v>
      </c>
      <c r="D240" s="26">
        <f>F240</f>
        <v>13.1583</v>
      </c>
      <c r="E240" s="26">
        <f>F240</f>
        <v>13.1583</v>
      </c>
      <c r="F240" s="26">
        <f>ROUND(13.1583,4)</f>
        <v>13.1583</v>
      </c>
      <c r="G240" s="24"/>
      <c r="H240" s="36"/>
    </row>
    <row r="241" spans="1:8" ht="12.75" customHeight="1">
      <c r="A241" s="22">
        <v>43035</v>
      </c>
      <c r="B241" s="22"/>
      <c r="C241" s="26">
        <f>ROUND(12.8741666666667,4)</f>
        <v>12.8742</v>
      </c>
      <c r="D241" s="26">
        <f>F241</f>
        <v>13.1668</v>
      </c>
      <c r="E241" s="26">
        <f>F241</f>
        <v>13.1668</v>
      </c>
      <c r="F241" s="26">
        <f>ROUND(13.1668,4)</f>
        <v>13.1668</v>
      </c>
      <c r="G241" s="24"/>
      <c r="H241" s="36"/>
    </row>
    <row r="242" spans="1:8" ht="12.75" customHeight="1">
      <c r="A242" s="22">
        <v>43052</v>
      </c>
      <c r="B242" s="22"/>
      <c r="C242" s="26">
        <f>ROUND(12.8741666666667,4)</f>
        <v>12.8742</v>
      </c>
      <c r="D242" s="26">
        <f>F242</f>
        <v>13.2027</v>
      </c>
      <c r="E242" s="26">
        <f>F242</f>
        <v>13.2027</v>
      </c>
      <c r="F242" s="26">
        <f>ROUND(13.2027,4)</f>
        <v>13.2027</v>
      </c>
      <c r="G242" s="24"/>
      <c r="H242" s="36"/>
    </row>
    <row r="243" spans="1:8" ht="12.75" customHeight="1">
      <c r="A243" s="22">
        <v>43067</v>
      </c>
      <c r="B243" s="22"/>
      <c r="C243" s="26">
        <f>ROUND(12.8741666666667,4)</f>
        <v>12.8742</v>
      </c>
      <c r="D243" s="26">
        <f>F243</f>
        <v>13.2344</v>
      </c>
      <c r="E243" s="26">
        <f>F243</f>
        <v>13.2344</v>
      </c>
      <c r="F243" s="26">
        <f>ROUND(13.2344,4)</f>
        <v>13.2344</v>
      </c>
      <c r="G243" s="24"/>
      <c r="H243" s="36"/>
    </row>
    <row r="244" spans="1:8" ht="12.75" customHeight="1">
      <c r="A244" s="22">
        <v>43091</v>
      </c>
      <c r="B244" s="22"/>
      <c r="C244" s="26">
        <f>ROUND(12.8741666666667,4)</f>
        <v>12.8742</v>
      </c>
      <c r="D244" s="26">
        <f>F244</f>
        <v>13.2845</v>
      </c>
      <c r="E244" s="26">
        <f>F244</f>
        <v>13.2845</v>
      </c>
      <c r="F244" s="26">
        <f>ROUND(13.2845,4)</f>
        <v>13.2845</v>
      </c>
      <c r="G244" s="24"/>
      <c r="H244" s="36"/>
    </row>
    <row r="245" spans="1:8" ht="12.75" customHeight="1">
      <c r="A245" s="22">
        <v>43102</v>
      </c>
      <c r="B245" s="22"/>
      <c r="C245" s="26">
        <f>ROUND(12.8741666666667,4)</f>
        <v>12.8742</v>
      </c>
      <c r="D245" s="26">
        <f>F245</f>
        <v>13.307</v>
      </c>
      <c r="E245" s="26">
        <f>F245</f>
        <v>13.307</v>
      </c>
      <c r="F245" s="26">
        <f>ROUND(13.307,4)</f>
        <v>13.307</v>
      </c>
      <c r="G245" s="24"/>
      <c r="H245" s="36"/>
    </row>
    <row r="246" spans="1:8" ht="12.75" customHeight="1">
      <c r="A246" s="22">
        <v>43144</v>
      </c>
      <c r="B246" s="22"/>
      <c r="C246" s="26">
        <f>ROUND(12.8741666666667,4)</f>
        <v>12.8742</v>
      </c>
      <c r="D246" s="26">
        <f>F246</f>
        <v>13.3929</v>
      </c>
      <c r="E246" s="26">
        <f>F246</f>
        <v>13.3929</v>
      </c>
      <c r="F246" s="26">
        <f>ROUND(13.3929,4)</f>
        <v>13.3929</v>
      </c>
      <c r="G246" s="24"/>
      <c r="H246" s="36"/>
    </row>
    <row r="247" spans="1:8" ht="12.75" customHeight="1">
      <c r="A247" s="22">
        <v>43146</v>
      </c>
      <c r="B247" s="22"/>
      <c r="C247" s="26">
        <f>ROUND(12.8741666666667,4)</f>
        <v>12.8742</v>
      </c>
      <c r="D247" s="26">
        <f>F247</f>
        <v>13.397</v>
      </c>
      <c r="E247" s="26">
        <f>F247</f>
        <v>13.397</v>
      </c>
      <c r="F247" s="26">
        <f>ROUND(13.397,4)</f>
        <v>13.397</v>
      </c>
      <c r="G247" s="24"/>
      <c r="H247" s="36"/>
    </row>
    <row r="248" spans="1:8" ht="12.75" customHeight="1">
      <c r="A248" s="22">
        <v>43215</v>
      </c>
      <c r="B248" s="22"/>
      <c r="C248" s="26">
        <f>ROUND(12.8741666666667,4)</f>
        <v>12.8742</v>
      </c>
      <c r="D248" s="26">
        <f>F248</f>
        <v>13.5368</v>
      </c>
      <c r="E248" s="26">
        <f>F248</f>
        <v>13.5368</v>
      </c>
      <c r="F248" s="26">
        <f>ROUND(13.5368,4)</f>
        <v>13.5368</v>
      </c>
      <c r="G248" s="24"/>
      <c r="H248" s="36"/>
    </row>
    <row r="249" spans="1:8" ht="12.75" customHeight="1">
      <c r="A249" s="22">
        <v>43231</v>
      </c>
      <c r="B249" s="22"/>
      <c r="C249" s="26">
        <f>ROUND(12.8741666666667,4)</f>
        <v>12.8742</v>
      </c>
      <c r="D249" s="26">
        <f>F249</f>
        <v>13.569</v>
      </c>
      <c r="E249" s="26">
        <f>F249</f>
        <v>13.569</v>
      </c>
      <c r="F249" s="26">
        <f>ROUND(13.569,4)</f>
        <v>13.569</v>
      </c>
      <c r="G249" s="24"/>
      <c r="H249" s="36"/>
    </row>
    <row r="250" spans="1:8" ht="12.75" customHeight="1">
      <c r="A250" s="22">
        <v>43235</v>
      </c>
      <c r="B250" s="22"/>
      <c r="C250" s="26">
        <f>ROUND(12.8741666666667,4)</f>
        <v>12.8742</v>
      </c>
      <c r="D250" s="26">
        <f>F250</f>
        <v>13.5771</v>
      </c>
      <c r="E250" s="26">
        <f>F250</f>
        <v>13.5771</v>
      </c>
      <c r="F250" s="26">
        <f>ROUND(13.5771,4)</f>
        <v>13.5771</v>
      </c>
      <c r="G250" s="24"/>
      <c r="H250" s="36"/>
    </row>
    <row r="251" spans="1:8" ht="12.75" customHeight="1">
      <c r="A251" s="22">
        <v>43325</v>
      </c>
      <c r="B251" s="22"/>
      <c r="C251" s="26">
        <f>ROUND(12.8741666666667,4)</f>
        <v>12.8742</v>
      </c>
      <c r="D251" s="26">
        <f>F251</f>
        <v>13.7642</v>
      </c>
      <c r="E251" s="26">
        <f>F251</f>
        <v>13.7642</v>
      </c>
      <c r="F251" s="26">
        <f>ROUND(13.7642,4)</f>
        <v>13.7642</v>
      </c>
      <c r="G251" s="24"/>
      <c r="H251" s="36"/>
    </row>
    <row r="252" spans="1:8" ht="12.75" customHeight="1">
      <c r="A252" s="22">
        <v>43417</v>
      </c>
      <c r="B252" s="22"/>
      <c r="C252" s="26">
        <f>ROUND(12.8741666666667,4)</f>
        <v>12.8742</v>
      </c>
      <c r="D252" s="26">
        <f>F252</f>
        <v>13.9583</v>
      </c>
      <c r="E252" s="26">
        <f>F252</f>
        <v>13.9583</v>
      </c>
      <c r="F252" s="26">
        <f>ROUND(13.9583,4)</f>
        <v>13.9583</v>
      </c>
      <c r="G252" s="24"/>
      <c r="H252" s="36"/>
    </row>
    <row r="253" spans="1:8" ht="12.75" customHeight="1">
      <c r="A253" s="22">
        <v>43509</v>
      </c>
      <c r="B253" s="22"/>
      <c r="C253" s="26">
        <f>ROUND(12.8741666666667,4)</f>
        <v>12.8742</v>
      </c>
      <c r="D253" s="26">
        <f>F253</f>
        <v>14.1525</v>
      </c>
      <c r="E253" s="26">
        <f>F253</f>
        <v>14.1525</v>
      </c>
      <c r="F253" s="26">
        <f>ROUND(14.1525,4)</f>
        <v>14.1525</v>
      </c>
      <c r="G253" s="24"/>
      <c r="H253" s="36"/>
    </row>
    <row r="254" spans="1:8" ht="12.75" customHeight="1">
      <c r="A254" s="22" t="s">
        <v>62</v>
      </c>
      <c r="B254" s="22"/>
      <c r="C254" s="23"/>
      <c r="D254" s="23"/>
      <c r="E254" s="23"/>
      <c r="F254" s="23"/>
      <c r="G254" s="24"/>
      <c r="H254" s="36"/>
    </row>
    <row r="255" spans="1:8" ht="12.75" customHeight="1">
      <c r="A255" s="22">
        <v>42905</v>
      </c>
      <c r="B255" s="22"/>
      <c r="C255" s="26">
        <f>ROUND(1.1183,4)</f>
        <v>1.1183</v>
      </c>
      <c r="D255" s="26">
        <f>F255</f>
        <v>1.1186</v>
      </c>
      <c r="E255" s="26">
        <f>F255</f>
        <v>1.1186</v>
      </c>
      <c r="F255" s="26">
        <f>ROUND(1.1186,4)</f>
        <v>1.1186</v>
      </c>
      <c r="G255" s="24"/>
      <c r="H255" s="36"/>
    </row>
    <row r="256" spans="1:8" ht="12.75" customHeight="1">
      <c r="A256" s="22">
        <v>42996</v>
      </c>
      <c r="B256" s="22"/>
      <c r="C256" s="26">
        <f>ROUND(1.1183,4)</f>
        <v>1.1183</v>
      </c>
      <c r="D256" s="26">
        <f>F256</f>
        <v>1.1241</v>
      </c>
      <c r="E256" s="26">
        <f>F256</f>
        <v>1.1241</v>
      </c>
      <c r="F256" s="26">
        <f>ROUND(1.1241,4)</f>
        <v>1.1241</v>
      </c>
      <c r="G256" s="24"/>
      <c r="H256" s="36"/>
    </row>
    <row r="257" spans="1:8" ht="12.75" customHeight="1">
      <c r="A257" s="22">
        <v>43087</v>
      </c>
      <c r="B257" s="22"/>
      <c r="C257" s="26">
        <f>ROUND(1.1183,4)</f>
        <v>1.1183</v>
      </c>
      <c r="D257" s="26">
        <f>F257</f>
        <v>1.1298</v>
      </c>
      <c r="E257" s="26">
        <f>F257</f>
        <v>1.1298</v>
      </c>
      <c r="F257" s="26">
        <f>ROUND(1.1298,4)</f>
        <v>1.1298</v>
      </c>
      <c r="G257" s="24"/>
      <c r="H257" s="36"/>
    </row>
    <row r="258" spans="1:8" ht="12.75" customHeight="1">
      <c r="A258" s="22">
        <v>43178</v>
      </c>
      <c r="B258" s="22"/>
      <c r="C258" s="26">
        <f>ROUND(1.1183,4)</f>
        <v>1.1183</v>
      </c>
      <c r="D258" s="26">
        <f>F258</f>
        <v>1.1359</v>
      </c>
      <c r="E258" s="26">
        <f>F258</f>
        <v>1.1359</v>
      </c>
      <c r="F258" s="26">
        <f>ROUND(1.1359,4)</f>
        <v>1.1359</v>
      </c>
      <c r="G258" s="24"/>
      <c r="H258" s="36"/>
    </row>
    <row r="259" spans="1:8" ht="12.75" customHeight="1">
      <c r="A259" s="22" t="s">
        <v>63</v>
      </c>
      <c r="B259" s="22"/>
      <c r="C259" s="23"/>
      <c r="D259" s="23"/>
      <c r="E259" s="23"/>
      <c r="F259" s="23"/>
      <c r="G259" s="24"/>
      <c r="H259" s="36"/>
    </row>
    <row r="260" spans="1:8" ht="12.75" customHeight="1">
      <c r="A260" s="22">
        <v>42905</v>
      </c>
      <c r="B260" s="22"/>
      <c r="C260" s="26">
        <f>ROUND(1.27355,4)</f>
        <v>1.2736</v>
      </c>
      <c r="D260" s="26">
        <f>F260</f>
        <v>1.2738</v>
      </c>
      <c r="E260" s="26">
        <f>F260</f>
        <v>1.2738</v>
      </c>
      <c r="F260" s="26">
        <f>ROUND(1.2738,4)</f>
        <v>1.2738</v>
      </c>
      <c r="G260" s="24"/>
      <c r="H260" s="36"/>
    </row>
    <row r="261" spans="1:8" ht="12.75" customHeight="1">
      <c r="A261" s="22">
        <v>42996</v>
      </c>
      <c r="B261" s="22"/>
      <c r="C261" s="26">
        <f>ROUND(1.27355,4)</f>
        <v>1.2736</v>
      </c>
      <c r="D261" s="26">
        <f>F261</f>
        <v>1.2774</v>
      </c>
      <c r="E261" s="26">
        <f>F261</f>
        <v>1.2774</v>
      </c>
      <c r="F261" s="26">
        <f>ROUND(1.2774,4)</f>
        <v>1.2774</v>
      </c>
      <c r="G261" s="24"/>
      <c r="H261" s="36"/>
    </row>
    <row r="262" spans="1:8" ht="12.75" customHeight="1">
      <c r="A262" s="22">
        <v>43087</v>
      </c>
      <c r="B262" s="22"/>
      <c r="C262" s="26">
        <f>ROUND(1.27355,4)</f>
        <v>1.2736</v>
      </c>
      <c r="D262" s="26">
        <f>F262</f>
        <v>1.2812</v>
      </c>
      <c r="E262" s="26">
        <f>F262</f>
        <v>1.2812</v>
      </c>
      <c r="F262" s="26">
        <f>ROUND(1.2812,4)</f>
        <v>1.2812</v>
      </c>
      <c r="G262" s="24"/>
      <c r="H262" s="36"/>
    </row>
    <row r="263" spans="1:8" ht="12.75" customHeight="1">
      <c r="A263" s="22">
        <v>43178</v>
      </c>
      <c r="B263" s="22"/>
      <c r="C263" s="26">
        <f>ROUND(1.27355,4)</f>
        <v>1.2736</v>
      </c>
      <c r="D263" s="26">
        <f>F263</f>
        <v>1.2852</v>
      </c>
      <c r="E263" s="26">
        <f>F263</f>
        <v>1.2852</v>
      </c>
      <c r="F263" s="26">
        <f>ROUND(1.2852,4)</f>
        <v>1.2852</v>
      </c>
      <c r="G263" s="24"/>
      <c r="H263" s="36"/>
    </row>
    <row r="264" spans="1:8" ht="12.75" customHeight="1">
      <c r="A264" s="22" t="s">
        <v>64</v>
      </c>
      <c r="B264" s="22"/>
      <c r="C264" s="23"/>
      <c r="D264" s="23"/>
      <c r="E264" s="23"/>
      <c r="F264" s="23"/>
      <c r="G264" s="24"/>
      <c r="H264" s="36"/>
    </row>
    <row r="265" spans="1:8" ht="12.75" customHeight="1">
      <c r="A265" s="22">
        <v>42905</v>
      </c>
      <c r="B265" s="22"/>
      <c r="C265" s="26">
        <f>ROUND(9.69446206944444,4)</f>
        <v>9.6945</v>
      </c>
      <c r="D265" s="26">
        <f>F265</f>
        <v>9.7028</v>
      </c>
      <c r="E265" s="26">
        <f>F265</f>
        <v>9.7028</v>
      </c>
      <c r="F265" s="26">
        <f>ROUND(9.7028,4)</f>
        <v>9.7028</v>
      </c>
      <c r="G265" s="24"/>
      <c r="H265" s="36"/>
    </row>
    <row r="266" spans="1:8" ht="12.75" customHeight="1">
      <c r="A266" s="22">
        <v>42996</v>
      </c>
      <c r="B266" s="22"/>
      <c r="C266" s="26">
        <f>ROUND(9.69446206944444,4)</f>
        <v>9.6945</v>
      </c>
      <c r="D266" s="26">
        <f>F266</f>
        <v>9.8395</v>
      </c>
      <c r="E266" s="26">
        <f>F266</f>
        <v>9.8395</v>
      </c>
      <c r="F266" s="26">
        <f>ROUND(9.8395,4)</f>
        <v>9.8395</v>
      </c>
      <c r="G266" s="24"/>
      <c r="H266" s="36"/>
    </row>
    <row r="267" spans="1:8" ht="12.75" customHeight="1">
      <c r="A267" s="22">
        <v>43087</v>
      </c>
      <c r="B267" s="22"/>
      <c r="C267" s="26">
        <f>ROUND(9.69446206944444,4)</f>
        <v>9.6945</v>
      </c>
      <c r="D267" s="26">
        <f>F267</f>
        <v>9.9735</v>
      </c>
      <c r="E267" s="26">
        <f>F267</f>
        <v>9.9735</v>
      </c>
      <c r="F267" s="26">
        <f>ROUND(9.9735,4)</f>
        <v>9.9735</v>
      </c>
      <c r="G267" s="24"/>
      <c r="H267" s="36"/>
    </row>
    <row r="268" spans="1:8" ht="12.75" customHeight="1">
      <c r="A268" s="22">
        <v>43178</v>
      </c>
      <c r="B268" s="22"/>
      <c r="C268" s="26">
        <f>ROUND(9.69446206944444,4)</f>
        <v>9.6945</v>
      </c>
      <c r="D268" s="26">
        <f>F268</f>
        <v>10.1039</v>
      </c>
      <c r="E268" s="26">
        <f>F268</f>
        <v>10.1039</v>
      </c>
      <c r="F268" s="26">
        <f>ROUND(10.1039,4)</f>
        <v>10.1039</v>
      </c>
      <c r="G268" s="24"/>
      <c r="H268" s="36"/>
    </row>
    <row r="269" spans="1:8" ht="12.75" customHeight="1">
      <c r="A269" s="22">
        <v>43269</v>
      </c>
      <c r="B269" s="22"/>
      <c r="C269" s="26">
        <f>ROUND(9.69446206944444,4)</f>
        <v>9.6945</v>
      </c>
      <c r="D269" s="26">
        <f>F269</f>
        <v>10.2334</v>
      </c>
      <c r="E269" s="26">
        <f>F269</f>
        <v>10.2334</v>
      </c>
      <c r="F269" s="26">
        <f>ROUND(10.2334,4)</f>
        <v>10.2334</v>
      </c>
      <c r="G269" s="24"/>
      <c r="H269" s="36"/>
    </row>
    <row r="270" spans="1:8" ht="12.75" customHeight="1">
      <c r="A270" s="22">
        <v>43360</v>
      </c>
      <c r="B270" s="22"/>
      <c r="C270" s="26">
        <f>ROUND(9.69446206944444,4)</f>
        <v>9.6945</v>
      </c>
      <c r="D270" s="26">
        <f>F270</f>
        <v>10.37</v>
      </c>
      <c r="E270" s="26">
        <f>F270</f>
        <v>10.37</v>
      </c>
      <c r="F270" s="26">
        <f>ROUND(10.37,4)</f>
        <v>10.37</v>
      </c>
      <c r="G270" s="24"/>
      <c r="H270" s="36"/>
    </row>
    <row r="271" spans="1:8" ht="12.75" customHeight="1">
      <c r="A271" s="22">
        <v>43448</v>
      </c>
      <c r="B271" s="22"/>
      <c r="C271" s="26">
        <f>ROUND(9.69446206944444,4)</f>
        <v>9.6945</v>
      </c>
      <c r="D271" s="26">
        <f>F271</f>
        <v>10.5016</v>
      </c>
      <c r="E271" s="26">
        <f>F271</f>
        <v>10.5016</v>
      </c>
      <c r="F271" s="26">
        <f>ROUND(10.5016,4)</f>
        <v>10.5016</v>
      </c>
      <c r="G271" s="24"/>
      <c r="H271" s="36"/>
    </row>
    <row r="272" spans="1:8" ht="12.75" customHeight="1">
      <c r="A272" s="22" t="s">
        <v>65</v>
      </c>
      <c r="B272" s="22"/>
      <c r="C272" s="23"/>
      <c r="D272" s="23"/>
      <c r="E272" s="23"/>
      <c r="F272" s="23"/>
      <c r="G272" s="24"/>
      <c r="H272" s="36"/>
    </row>
    <row r="273" spans="1:8" ht="12.75" customHeight="1">
      <c r="A273" s="22">
        <v>42905</v>
      </c>
      <c r="B273" s="22"/>
      <c r="C273" s="26">
        <f>ROUND(3.50517756178134,4)</f>
        <v>3.5052</v>
      </c>
      <c r="D273" s="26">
        <f>F273</f>
        <v>3.8182</v>
      </c>
      <c r="E273" s="26">
        <f>F273</f>
        <v>3.8182</v>
      </c>
      <c r="F273" s="26">
        <f>ROUND(3.8182,4)</f>
        <v>3.8182</v>
      </c>
      <c r="G273" s="24"/>
      <c r="H273" s="36"/>
    </row>
    <row r="274" spans="1:8" ht="12.75" customHeight="1">
      <c r="A274" s="22">
        <v>42996</v>
      </c>
      <c r="B274" s="22"/>
      <c r="C274" s="26">
        <f>ROUND(3.50517756178134,4)</f>
        <v>3.5052</v>
      </c>
      <c r="D274" s="26">
        <f>F274</f>
        <v>3.8722</v>
      </c>
      <c r="E274" s="26">
        <f>F274</f>
        <v>3.8722</v>
      </c>
      <c r="F274" s="26">
        <f>ROUND(3.8722,4)</f>
        <v>3.8722</v>
      </c>
      <c r="G274" s="24"/>
      <c r="H274" s="36"/>
    </row>
    <row r="275" spans="1:8" ht="12.75" customHeight="1">
      <c r="A275" s="22">
        <v>43087</v>
      </c>
      <c r="B275" s="22"/>
      <c r="C275" s="26">
        <f>ROUND(3.50517756178134,4)</f>
        <v>3.5052</v>
      </c>
      <c r="D275" s="26">
        <f>F275</f>
        <v>3.9228</v>
      </c>
      <c r="E275" s="26">
        <f>F275</f>
        <v>3.9228</v>
      </c>
      <c r="F275" s="26">
        <f>ROUND(3.9228,4)</f>
        <v>3.9228</v>
      </c>
      <c r="G275" s="24"/>
      <c r="H275" s="36"/>
    </row>
    <row r="276" spans="1:8" ht="12.75" customHeight="1">
      <c r="A276" s="22" t="s">
        <v>66</v>
      </c>
      <c r="B276" s="22"/>
      <c r="C276" s="23"/>
      <c r="D276" s="23"/>
      <c r="E276" s="23"/>
      <c r="F276" s="23"/>
      <c r="G276" s="24"/>
      <c r="H276" s="36"/>
    </row>
    <row r="277" spans="1:8" ht="12.75" customHeight="1">
      <c r="A277" s="22">
        <v>42905</v>
      </c>
      <c r="B277" s="22"/>
      <c r="C277" s="26">
        <f>ROUND(1.26038091666667,4)</f>
        <v>1.2604</v>
      </c>
      <c r="D277" s="26">
        <f>F277</f>
        <v>1.2612</v>
      </c>
      <c r="E277" s="26">
        <f>F277</f>
        <v>1.2612</v>
      </c>
      <c r="F277" s="26">
        <f>ROUND(1.2612,4)</f>
        <v>1.2612</v>
      </c>
      <c r="G277" s="24"/>
      <c r="H277" s="36"/>
    </row>
    <row r="278" spans="1:8" ht="12.75" customHeight="1">
      <c r="A278" s="22">
        <v>42996</v>
      </c>
      <c r="B278" s="22"/>
      <c r="C278" s="26">
        <f>ROUND(1.26038091666667,4)</f>
        <v>1.2604</v>
      </c>
      <c r="D278" s="26">
        <f>F278</f>
        <v>1.2749</v>
      </c>
      <c r="E278" s="26">
        <f>F278</f>
        <v>1.2749</v>
      </c>
      <c r="F278" s="26">
        <f>ROUND(1.2749,4)</f>
        <v>1.2749</v>
      </c>
      <c r="G278" s="24"/>
      <c r="H278" s="36"/>
    </row>
    <row r="279" spans="1:8" ht="12.75" customHeight="1">
      <c r="A279" s="22">
        <v>43087</v>
      </c>
      <c r="B279" s="22"/>
      <c r="C279" s="26">
        <f>ROUND(1.26038091666667,4)</f>
        <v>1.2604</v>
      </c>
      <c r="D279" s="26">
        <f>F279</f>
        <v>1.2872</v>
      </c>
      <c r="E279" s="26">
        <f>F279</f>
        <v>1.2872</v>
      </c>
      <c r="F279" s="26">
        <f>ROUND(1.2872,4)</f>
        <v>1.2872</v>
      </c>
      <c r="G279" s="24"/>
      <c r="H279" s="36"/>
    </row>
    <row r="280" spans="1:8" ht="12.75" customHeight="1">
      <c r="A280" s="22">
        <v>43178</v>
      </c>
      <c r="B280" s="22"/>
      <c r="C280" s="26">
        <f>ROUND(1.26038091666667,4)</f>
        <v>1.2604</v>
      </c>
      <c r="D280" s="26">
        <f>F280</f>
        <v>1.3067</v>
      </c>
      <c r="E280" s="26">
        <f>F280</f>
        <v>1.3067</v>
      </c>
      <c r="F280" s="26">
        <f>ROUND(1.3067,4)</f>
        <v>1.3067</v>
      </c>
      <c r="G280" s="24"/>
      <c r="H280" s="36"/>
    </row>
    <row r="281" spans="1:8" ht="12.75" customHeight="1">
      <c r="A281" s="22" t="s">
        <v>67</v>
      </c>
      <c r="B281" s="22"/>
      <c r="C281" s="23"/>
      <c r="D281" s="23"/>
      <c r="E281" s="23"/>
      <c r="F281" s="23"/>
      <c r="G281" s="24"/>
      <c r="H281" s="36"/>
    </row>
    <row r="282" spans="1:8" ht="12.75" customHeight="1">
      <c r="A282" s="22">
        <v>42905</v>
      </c>
      <c r="B282" s="22"/>
      <c r="C282" s="26">
        <f>ROUND(9.5839847142609,4)</f>
        <v>9.584</v>
      </c>
      <c r="D282" s="26">
        <f>F282</f>
        <v>9.5941</v>
      </c>
      <c r="E282" s="26">
        <f>F282</f>
        <v>9.5941</v>
      </c>
      <c r="F282" s="26">
        <f>ROUND(9.5941,4)</f>
        <v>9.5941</v>
      </c>
      <c r="G282" s="24"/>
      <c r="H282" s="36"/>
    </row>
    <row r="283" spans="1:8" ht="12.75" customHeight="1">
      <c r="A283" s="22">
        <v>42996</v>
      </c>
      <c r="B283" s="22"/>
      <c r="C283" s="26">
        <f>ROUND(9.5839847142609,4)</f>
        <v>9.584</v>
      </c>
      <c r="D283" s="26">
        <f>F283</f>
        <v>9.759</v>
      </c>
      <c r="E283" s="26">
        <f>F283</f>
        <v>9.759</v>
      </c>
      <c r="F283" s="26">
        <f>ROUND(9.759,4)</f>
        <v>9.759</v>
      </c>
      <c r="G283" s="24"/>
      <c r="H283" s="36"/>
    </row>
    <row r="284" spans="1:8" ht="12.75" customHeight="1">
      <c r="A284" s="22">
        <v>43087</v>
      </c>
      <c r="B284" s="22"/>
      <c r="C284" s="26">
        <f>ROUND(9.5839847142609,4)</f>
        <v>9.584</v>
      </c>
      <c r="D284" s="26">
        <f>F284</f>
        <v>9.9197</v>
      </c>
      <c r="E284" s="26">
        <f>F284</f>
        <v>9.9197</v>
      </c>
      <c r="F284" s="26">
        <f>ROUND(9.9197,4)</f>
        <v>9.9197</v>
      </c>
      <c r="G284" s="24"/>
      <c r="H284" s="36"/>
    </row>
    <row r="285" spans="1:8" ht="12.75" customHeight="1">
      <c r="A285" s="22">
        <v>43178</v>
      </c>
      <c r="B285" s="22"/>
      <c r="C285" s="26">
        <f>ROUND(9.5839847142609,4)</f>
        <v>9.584</v>
      </c>
      <c r="D285" s="26">
        <f>F285</f>
        <v>10.0764</v>
      </c>
      <c r="E285" s="26">
        <f>F285</f>
        <v>10.0764</v>
      </c>
      <c r="F285" s="26">
        <f>ROUND(10.0764,4)</f>
        <v>10.0764</v>
      </c>
      <c r="G285" s="24"/>
      <c r="H285" s="36"/>
    </row>
    <row r="286" spans="1:8" ht="12.75" customHeight="1">
      <c r="A286" s="22" t="s">
        <v>68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42905</v>
      </c>
      <c r="B287" s="22"/>
      <c r="C287" s="26">
        <f>ROUND(1.8983670072111,4)</f>
        <v>1.8984</v>
      </c>
      <c r="D287" s="26">
        <f>F287</f>
        <v>1.8977</v>
      </c>
      <c r="E287" s="26">
        <f>F287</f>
        <v>1.8977</v>
      </c>
      <c r="F287" s="26">
        <f>ROUND(1.8977,4)</f>
        <v>1.8977</v>
      </c>
      <c r="G287" s="24"/>
      <c r="H287" s="36"/>
    </row>
    <row r="288" spans="1:8" ht="12.75" customHeight="1">
      <c r="A288" s="22">
        <v>42996</v>
      </c>
      <c r="B288" s="22"/>
      <c r="C288" s="26">
        <f>ROUND(1.8983670072111,4)</f>
        <v>1.8984</v>
      </c>
      <c r="D288" s="26">
        <f>F288</f>
        <v>1.9125</v>
      </c>
      <c r="E288" s="26">
        <f>F288</f>
        <v>1.9125</v>
      </c>
      <c r="F288" s="26">
        <f>ROUND(1.9125,4)</f>
        <v>1.9125</v>
      </c>
      <c r="G288" s="24"/>
      <c r="H288" s="36"/>
    </row>
    <row r="289" spans="1:8" ht="12.75" customHeight="1">
      <c r="A289" s="22">
        <v>43087</v>
      </c>
      <c r="B289" s="22"/>
      <c r="C289" s="26">
        <f>ROUND(1.8983670072111,4)</f>
        <v>1.8984</v>
      </c>
      <c r="D289" s="26">
        <f>F289</f>
        <v>1.9284</v>
      </c>
      <c r="E289" s="26">
        <f>F289</f>
        <v>1.9284</v>
      </c>
      <c r="F289" s="26">
        <f>ROUND(1.9284,4)</f>
        <v>1.9284</v>
      </c>
      <c r="G289" s="24"/>
      <c r="H289" s="36"/>
    </row>
    <row r="290" spans="1:8" ht="12.75" customHeight="1">
      <c r="A290" s="22">
        <v>43178</v>
      </c>
      <c r="B290" s="22"/>
      <c r="C290" s="26">
        <f>ROUND(1.8983670072111,4)</f>
        <v>1.8984</v>
      </c>
      <c r="D290" s="26">
        <f>F290</f>
        <v>1.9426</v>
      </c>
      <c r="E290" s="26">
        <f>F290</f>
        <v>1.9426</v>
      </c>
      <c r="F290" s="26">
        <f>ROUND(1.9426,4)</f>
        <v>1.9426</v>
      </c>
      <c r="G290" s="24"/>
      <c r="H290" s="36"/>
    </row>
    <row r="291" spans="1:8" ht="12.75" customHeight="1">
      <c r="A291" s="22" t="s">
        <v>69</v>
      </c>
      <c r="B291" s="22"/>
      <c r="C291" s="23"/>
      <c r="D291" s="23"/>
      <c r="E291" s="23"/>
      <c r="F291" s="23"/>
      <c r="G291" s="24"/>
      <c r="H291" s="36"/>
    </row>
    <row r="292" spans="1:8" ht="12.75" customHeight="1">
      <c r="A292" s="22">
        <v>42905</v>
      </c>
      <c r="B292" s="22"/>
      <c r="C292" s="26">
        <f>ROUND(1.93605225298384,4)</f>
        <v>1.9361</v>
      </c>
      <c r="D292" s="26">
        <f>F292</f>
        <v>1.946</v>
      </c>
      <c r="E292" s="26">
        <f>F292</f>
        <v>1.946</v>
      </c>
      <c r="F292" s="26">
        <f>ROUND(1.946,4)</f>
        <v>1.946</v>
      </c>
      <c r="G292" s="24"/>
      <c r="H292" s="36"/>
    </row>
    <row r="293" spans="1:8" ht="12.75" customHeight="1">
      <c r="A293" s="22">
        <v>42996</v>
      </c>
      <c r="B293" s="22"/>
      <c r="C293" s="26">
        <f>ROUND(1.93605225298384,4)</f>
        <v>1.9361</v>
      </c>
      <c r="D293" s="26">
        <f>F293</f>
        <v>1.9862</v>
      </c>
      <c r="E293" s="26">
        <f>F293</f>
        <v>1.9862</v>
      </c>
      <c r="F293" s="26">
        <f>ROUND(1.9862,4)</f>
        <v>1.9862</v>
      </c>
      <c r="G293" s="24"/>
      <c r="H293" s="36"/>
    </row>
    <row r="294" spans="1:8" ht="12.75" customHeight="1">
      <c r="A294" s="22">
        <v>43087</v>
      </c>
      <c r="B294" s="22"/>
      <c r="C294" s="26">
        <f>ROUND(1.93605225298384,4)</f>
        <v>1.9361</v>
      </c>
      <c r="D294" s="26">
        <f>F294</f>
        <v>2.0265</v>
      </c>
      <c r="E294" s="26">
        <f>F294</f>
        <v>2.0265</v>
      </c>
      <c r="F294" s="26">
        <f>ROUND(2.0265,4)</f>
        <v>2.0265</v>
      </c>
      <c r="G294" s="24"/>
      <c r="H294" s="36"/>
    </row>
    <row r="295" spans="1:8" ht="12.75" customHeight="1">
      <c r="A295" s="22">
        <v>43178</v>
      </c>
      <c r="B295" s="22"/>
      <c r="C295" s="26">
        <f>ROUND(1.93605225298384,4)</f>
        <v>1.9361</v>
      </c>
      <c r="D295" s="26">
        <f>F295</f>
        <v>2.0666</v>
      </c>
      <c r="E295" s="26">
        <f>F295</f>
        <v>2.0666</v>
      </c>
      <c r="F295" s="26">
        <f>ROUND(2.0666,4)</f>
        <v>2.0666</v>
      </c>
      <c r="G295" s="24"/>
      <c r="H295" s="36"/>
    </row>
    <row r="296" spans="1:8" ht="12.75" customHeight="1">
      <c r="A296" s="22" t="s">
        <v>70</v>
      </c>
      <c r="B296" s="22"/>
      <c r="C296" s="23"/>
      <c r="D296" s="23"/>
      <c r="E296" s="23"/>
      <c r="F296" s="23"/>
      <c r="G296" s="24"/>
      <c r="H296" s="36"/>
    </row>
    <row r="297" spans="1:8" ht="12.75" customHeight="1">
      <c r="A297" s="22">
        <v>42905</v>
      </c>
      <c r="B297" s="22"/>
      <c r="C297" s="26">
        <f>ROUND(14.3971805833333,4)</f>
        <v>14.3972</v>
      </c>
      <c r="D297" s="26">
        <f>F297</f>
        <v>14.4149</v>
      </c>
      <c r="E297" s="26">
        <f>F297</f>
        <v>14.4149</v>
      </c>
      <c r="F297" s="26">
        <f>ROUND(14.4149,4)</f>
        <v>14.4149</v>
      </c>
      <c r="G297" s="24"/>
      <c r="H297" s="36"/>
    </row>
    <row r="298" spans="1:8" ht="12.75" customHeight="1">
      <c r="A298" s="22">
        <v>42996</v>
      </c>
      <c r="B298" s="22"/>
      <c r="C298" s="26">
        <f>ROUND(14.3971805833333,4)</f>
        <v>14.3972</v>
      </c>
      <c r="D298" s="26">
        <f>F298</f>
        <v>14.708</v>
      </c>
      <c r="E298" s="26">
        <f>F298</f>
        <v>14.708</v>
      </c>
      <c r="F298" s="26">
        <f>ROUND(14.708,4)</f>
        <v>14.708</v>
      </c>
      <c r="G298" s="24"/>
      <c r="H298" s="36"/>
    </row>
    <row r="299" spans="1:8" ht="12.75" customHeight="1">
      <c r="A299" s="22">
        <v>43087</v>
      </c>
      <c r="B299" s="22"/>
      <c r="C299" s="26">
        <f>ROUND(14.3971805833333,4)</f>
        <v>14.3972</v>
      </c>
      <c r="D299" s="26">
        <f>F299</f>
        <v>14.9995</v>
      </c>
      <c r="E299" s="26">
        <f>F299</f>
        <v>14.9995</v>
      </c>
      <c r="F299" s="26">
        <f>ROUND(14.9995,4)</f>
        <v>14.9995</v>
      </c>
      <c r="G299" s="24"/>
      <c r="H299" s="36"/>
    </row>
    <row r="300" spans="1:8" ht="12.75" customHeight="1">
      <c r="A300" s="22">
        <v>43178</v>
      </c>
      <c r="B300" s="22"/>
      <c r="C300" s="26">
        <f>ROUND(14.3971805833333,4)</f>
        <v>14.3972</v>
      </c>
      <c r="D300" s="26">
        <f>F300</f>
        <v>15.2913</v>
      </c>
      <c r="E300" s="26">
        <f>F300</f>
        <v>15.2913</v>
      </c>
      <c r="F300" s="26">
        <f>ROUND(15.2913,4)</f>
        <v>15.2913</v>
      </c>
      <c r="G300" s="24"/>
      <c r="H300" s="36"/>
    </row>
    <row r="301" spans="1:8" ht="12.75" customHeight="1">
      <c r="A301" s="22">
        <v>43269</v>
      </c>
      <c r="B301" s="22"/>
      <c r="C301" s="26">
        <f>ROUND(14.3971805833333,4)</f>
        <v>14.3972</v>
      </c>
      <c r="D301" s="26">
        <f>F301</f>
        <v>15.5807</v>
      </c>
      <c r="E301" s="26">
        <f>F301</f>
        <v>15.5807</v>
      </c>
      <c r="F301" s="26">
        <f>ROUND(15.5807,4)</f>
        <v>15.5807</v>
      </c>
      <c r="G301" s="24"/>
      <c r="H301" s="36"/>
    </row>
    <row r="302" spans="1:8" ht="12.75" customHeight="1">
      <c r="A302" s="22">
        <v>43360</v>
      </c>
      <c r="B302" s="22"/>
      <c r="C302" s="26">
        <f>ROUND(14.3971805833333,4)</f>
        <v>14.3972</v>
      </c>
      <c r="D302" s="26">
        <f>F302</f>
        <v>15.8475</v>
      </c>
      <c r="E302" s="26">
        <f>F302</f>
        <v>15.8475</v>
      </c>
      <c r="F302" s="26">
        <f>ROUND(15.8475,4)</f>
        <v>15.8475</v>
      </c>
      <c r="G302" s="24"/>
      <c r="H302" s="36"/>
    </row>
    <row r="303" spans="1:8" ht="12.75" customHeight="1">
      <c r="A303" s="22">
        <v>43448</v>
      </c>
      <c r="B303" s="22"/>
      <c r="C303" s="26">
        <f>ROUND(14.3971805833333,4)</f>
        <v>14.3972</v>
      </c>
      <c r="D303" s="26">
        <f>F303</f>
        <v>16.1897</v>
      </c>
      <c r="E303" s="26">
        <f>F303</f>
        <v>16.1897</v>
      </c>
      <c r="F303" s="26">
        <f>ROUND(16.1897,4)</f>
        <v>16.1897</v>
      </c>
      <c r="G303" s="24"/>
      <c r="H303" s="36"/>
    </row>
    <row r="304" spans="1:8" ht="12.75" customHeight="1">
      <c r="A304" s="22" t="s">
        <v>71</v>
      </c>
      <c r="B304" s="22"/>
      <c r="C304" s="23"/>
      <c r="D304" s="23"/>
      <c r="E304" s="23"/>
      <c r="F304" s="23"/>
      <c r="G304" s="24"/>
      <c r="H304" s="36"/>
    </row>
    <row r="305" spans="1:8" ht="12.75" customHeight="1">
      <c r="A305" s="22">
        <v>42905</v>
      </c>
      <c r="B305" s="22"/>
      <c r="C305" s="26">
        <f>ROUND(13.2696007696008,4)</f>
        <v>13.2696</v>
      </c>
      <c r="D305" s="26">
        <f>F305</f>
        <v>13.2868</v>
      </c>
      <c r="E305" s="26">
        <f>F305</f>
        <v>13.2868</v>
      </c>
      <c r="F305" s="26">
        <f>ROUND(13.2868,4)</f>
        <v>13.2868</v>
      </c>
      <c r="G305" s="24"/>
      <c r="H305" s="36"/>
    </row>
    <row r="306" spans="1:8" ht="12.75" customHeight="1">
      <c r="A306" s="22">
        <v>42996</v>
      </c>
      <c r="B306" s="22"/>
      <c r="C306" s="26">
        <f>ROUND(13.2696007696008,4)</f>
        <v>13.2696</v>
      </c>
      <c r="D306" s="26">
        <f>F306</f>
        <v>13.57</v>
      </c>
      <c r="E306" s="26">
        <f>F306</f>
        <v>13.57</v>
      </c>
      <c r="F306" s="26">
        <f>ROUND(13.57,4)</f>
        <v>13.57</v>
      </c>
      <c r="G306" s="24"/>
      <c r="H306" s="36"/>
    </row>
    <row r="307" spans="1:8" ht="12.75" customHeight="1">
      <c r="A307" s="22">
        <v>43087</v>
      </c>
      <c r="B307" s="22"/>
      <c r="C307" s="26">
        <f>ROUND(13.2696007696008,4)</f>
        <v>13.2696</v>
      </c>
      <c r="D307" s="26">
        <f>F307</f>
        <v>13.8546</v>
      </c>
      <c r="E307" s="26">
        <f>F307</f>
        <v>13.8546</v>
      </c>
      <c r="F307" s="26">
        <f>ROUND(13.8546,4)</f>
        <v>13.8546</v>
      </c>
      <c r="G307" s="24"/>
      <c r="H307" s="36"/>
    </row>
    <row r="308" spans="1:8" ht="12.75" customHeight="1">
      <c r="A308" s="22">
        <v>43178</v>
      </c>
      <c r="B308" s="22"/>
      <c r="C308" s="26">
        <f>ROUND(13.2696007696008,4)</f>
        <v>13.2696</v>
      </c>
      <c r="D308" s="26">
        <f>F308</f>
        <v>14.1415</v>
      </c>
      <c r="E308" s="26">
        <f>F308</f>
        <v>14.1415</v>
      </c>
      <c r="F308" s="26">
        <f>ROUND(14.1415,4)</f>
        <v>14.1415</v>
      </c>
      <c r="G308" s="24"/>
      <c r="H308" s="36"/>
    </row>
    <row r="309" spans="1:8" ht="12.75" customHeight="1">
      <c r="A309" s="22">
        <v>43269</v>
      </c>
      <c r="B309" s="22"/>
      <c r="C309" s="26">
        <f>ROUND(13.2696007696008,4)</f>
        <v>13.2696</v>
      </c>
      <c r="D309" s="26">
        <f>F309</f>
        <v>14.425</v>
      </c>
      <c r="E309" s="26">
        <f>F309</f>
        <v>14.425</v>
      </c>
      <c r="F309" s="26">
        <f>ROUND(14.425,4)</f>
        <v>14.425</v>
      </c>
      <c r="G309" s="24"/>
      <c r="H309" s="36"/>
    </row>
    <row r="310" spans="1:8" ht="12.75" customHeight="1">
      <c r="A310" s="22" t="s">
        <v>72</v>
      </c>
      <c r="B310" s="22"/>
      <c r="C310" s="23"/>
      <c r="D310" s="23"/>
      <c r="E310" s="23"/>
      <c r="F310" s="23"/>
      <c r="G310" s="24"/>
      <c r="H310" s="36"/>
    </row>
    <row r="311" spans="1:8" ht="12.75" customHeight="1">
      <c r="A311" s="22">
        <v>42905</v>
      </c>
      <c r="B311" s="22"/>
      <c r="C311" s="26">
        <f>ROUND(16.3958949583333,4)</f>
        <v>16.3959</v>
      </c>
      <c r="D311" s="26">
        <f>F311</f>
        <v>16.4143</v>
      </c>
      <c r="E311" s="26">
        <f>F311</f>
        <v>16.4143</v>
      </c>
      <c r="F311" s="26">
        <f>ROUND(16.4143,4)</f>
        <v>16.4143</v>
      </c>
      <c r="G311" s="24"/>
      <c r="H311" s="36"/>
    </row>
    <row r="312" spans="1:8" ht="12.75" customHeight="1">
      <c r="A312" s="22">
        <v>42996</v>
      </c>
      <c r="B312" s="22"/>
      <c r="C312" s="26">
        <f>ROUND(16.3958949583333,4)</f>
        <v>16.3959</v>
      </c>
      <c r="D312" s="26">
        <f>F312</f>
        <v>16.7142</v>
      </c>
      <c r="E312" s="26">
        <f>F312</f>
        <v>16.7142</v>
      </c>
      <c r="F312" s="26">
        <f>ROUND(16.7142,4)</f>
        <v>16.7142</v>
      </c>
      <c r="G312" s="24"/>
      <c r="H312" s="36"/>
    </row>
    <row r="313" spans="1:8" ht="12.75" customHeight="1">
      <c r="A313" s="22">
        <v>43087</v>
      </c>
      <c r="B313" s="22"/>
      <c r="C313" s="26">
        <f>ROUND(16.3958949583333,4)</f>
        <v>16.3959</v>
      </c>
      <c r="D313" s="26">
        <f>F313</f>
        <v>17.0098</v>
      </c>
      <c r="E313" s="26">
        <f>F313</f>
        <v>17.0098</v>
      </c>
      <c r="F313" s="26">
        <f>ROUND(17.0098,4)</f>
        <v>17.0098</v>
      </c>
      <c r="G313" s="24"/>
      <c r="H313" s="36"/>
    </row>
    <row r="314" spans="1:8" ht="12.75" customHeight="1">
      <c r="A314" s="22">
        <v>43178</v>
      </c>
      <c r="B314" s="22"/>
      <c r="C314" s="26">
        <f>ROUND(16.3958949583333,4)</f>
        <v>16.3959</v>
      </c>
      <c r="D314" s="26">
        <f>F314</f>
        <v>17.3022</v>
      </c>
      <c r="E314" s="26">
        <f>F314</f>
        <v>17.3022</v>
      </c>
      <c r="F314" s="26">
        <f>ROUND(17.3022,4)</f>
        <v>17.3022</v>
      </c>
      <c r="G314" s="24"/>
      <c r="H314" s="36"/>
    </row>
    <row r="315" spans="1:8" ht="12.75" customHeight="1">
      <c r="A315" s="22">
        <v>43269</v>
      </c>
      <c r="B315" s="22"/>
      <c r="C315" s="26">
        <f>ROUND(16.3958949583333,4)</f>
        <v>16.3959</v>
      </c>
      <c r="D315" s="26">
        <f>F315</f>
        <v>17.5937</v>
      </c>
      <c r="E315" s="26">
        <f>F315</f>
        <v>17.5937</v>
      </c>
      <c r="F315" s="26">
        <f>ROUND(17.5937,4)</f>
        <v>17.5937</v>
      </c>
      <c r="G315" s="24"/>
      <c r="H315" s="36"/>
    </row>
    <row r="316" spans="1:8" ht="12.75" customHeight="1">
      <c r="A316" s="22">
        <v>43360</v>
      </c>
      <c r="B316" s="22"/>
      <c r="C316" s="26">
        <f>ROUND(16.3958949583333,4)</f>
        <v>16.3959</v>
      </c>
      <c r="D316" s="26">
        <f>F316</f>
        <v>17.9017</v>
      </c>
      <c r="E316" s="26">
        <f>F316</f>
        <v>17.9017</v>
      </c>
      <c r="F316" s="26">
        <f>ROUND(17.9017,4)</f>
        <v>17.9017</v>
      </c>
      <c r="G316" s="24"/>
      <c r="H316" s="36"/>
    </row>
    <row r="317" spans="1:8" ht="12.75" customHeight="1">
      <c r="A317" s="22">
        <v>43448</v>
      </c>
      <c r="B317" s="22"/>
      <c r="C317" s="26">
        <f>ROUND(16.3958949583333,4)</f>
        <v>16.3959</v>
      </c>
      <c r="D317" s="26">
        <f>F317</f>
        <v>17.9602</v>
      </c>
      <c r="E317" s="26">
        <f>F317</f>
        <v>17.9602</v>
      </c>
      <c r="F317" s="26">
        <f>ROUND(17.9602,4)</f>
        <v>17.9602</v>
      </c>
      <c r="G317" s="24"/>
      <c r="H317" s="36"/>
    </row>
    <row r="318" spans="1:8" ht="12.75" customHeight="1">
      <c r="A318" s="22" t="s">
        <v>73</v>
      </c>
      <c r="B318" s="22"/>
      <c r="C318" s="23"/>
      <c r="D318" s="23"/>
      <c r="E318" s="23"/>
      <c r="F318" s="23"/>
      <c r="G318" s="24"/>
      <c r="H318" s="36"/>
    </row>
    <row r="319" spans="1:8" ht="12.75" customHeight="1">
      <c r="A319" s="22">
        <v>42905</v>
      </c>
      <c r="B319" s="22"/>
      <c r="C319" s="26">
        <f>ROUND(1.65102102756796,4)</f>
        <v>1.651</v>
      </c>
      <c r="D319" s="26">
        <f>F319</f>
        <v>1.6528</v>
      </c>
      <c r="E319" s="26">
        <f>F319</f>
        <v>1.6528</v>
      </c>
      <c r="F319" s="26">
        <f>ROUND(1.6528,4)</f>
        <v>1.6528</v>
      </c>
      <c r="G319" s="24"/>
      <c r="H319" s="36"/>
    </row>
    <row r="320" spans="1:8" ht="12.75" customHeight="1">
      <c r="A320" s="22">
        <v>42996</v>
      </c>
      <c r="B320" s="22"/>
      <c r="C320" s="26">
        <f>ROUND(1.65102102756796,4)</f>
        <v>1.651</v>
      </c>
      <c r="D320" s="26">
        <f>F320</f>
        <v>1.6818</v>
      </c>
      <c r="E320" s="26">
        <f>F320</f>
        <v>1.6818</v>
      </c>
      <c r="F320" s="26">
        <f>ROUND(1.6818,4)</f>
        <v>1.6818</v>
      </c>
      <c r="G320" s="24"/>
      <c r="H320" s="36"/>
    </row>
    <row r="321" spans="1:8" ht="12.75" customHeight="1">
      <c r="A321" s="22">
        <v>43087</v>
      </c>
      <c r="B321" s="22"/>
      <c r="C321" s="26">
        <f>ROUND(1.65102102756796,4)</f>
        <v>1.651</v>
      </c>
      <c r="D321" s="26">
        <f>F321</f>
        <v>1.7095</v>
      </c>
      <c r="E321" s="26">
        <f>F321</f>
        <v>1.7095</v>
      </c>
      <c r="F321" s="26">
        <f>ROUND(1.7095,4)</f>
        <v>1.7095</v>
      </c>
      <c r="G321" s="24"/>
      <c r="H321" s="36"/>
    </row>
    <row r="322" spans="1:8" ht="12.75" customHeight="1">
      <c r="A322" s="22">
        <v>43178</v>
      </c>
      <c r="B322" s="22"/>
      <c r="C322" s="26">
        <f>ROUND(1.65102102756796,4)</f>
        <v>1.651</v>
      </c>
      <c r="D322" s="26">
        <f>F322</f>
        <v>1.7357</v>
      </c>
      <c r="E322" s="26">
        <f>F322</f>
        <v>1.7357</v>
      </c>
      <c r="F322" s="26">
        <f>ROUND(1.7357,4)</f>
        <v>1.7357</v>
      </c>
      <c r="G322" s="24"/>
      <c r="H322" s="36"/>
    </row>
    <row r="323" spans="1:8" ht="12.75" customHeight="1">
      <c r="A323" s="22" t="s">
        <v>74</v>
      </c>
      <c r="B323" s="22"/>
      <c r="C323" s="23"/>
      <c r="D323" s="23"/>
      <c r="E323" s="23"/>
      <c r="F323" s="23"/>
      <c r="G323" s="24"/>
      <c r="H323" s="36"/>
    </row>
    <row r="324" spans="1:8" ht="12.75" customHeight="1">
      <c r="A324" s="22">
        <v>42905</v>
      </c>
      <c r="B324" s="22"/>
      <c r="C324" s="28">
        <f>ROUND(0.116318817009999,6)</f>
        <v>0.116319</v>
      </c>
      <c r="D324" s="28">
        <f>F324</f>
        <v>0.116453</v>
      </c>
      <c r="E324" s="28">
        <f>F324</f>
        <v>0.116453</v>
      </c>
      <c r="F324" s="28">
        <f>ROUND(0.116453,6)</f>
        <v>0.116453</v>
      </c>
      <c r="G324" s="24"/>
      <c r="H324" s="36"/>
    </row>
    <row r="325" spans="1:8" ht="12.75" customHeight="1">
      <c r="A325" s="22">
        <v>42996</v>
      </c>
      <c r="B325" s="22"/>
      <c r="C325" s="28">
        <f>ROUND(0.116318817009999,6)</f>
        <v>0.116319</v>
      </c>
      <c r="D325" s="28">
        <f>F325</f>
        <v>0.118729</v>
      </c>
      <c r="E325" s="28">
        <f>F325</f>
        <v>0.118729</v>
      </c>
      <c r="F325" s="28">
        <f>ROUND(0.118729,6)</f>
        <v>0.118729</v>
      </c>
      <c r="G325" s="24"/>
      <c r="H325" s="36"/>
    </row>
    <row r="326" spans="1:8" ht="12.75" customHeight="1">
      <c r="A326" s="22">
        <v>43087</v>
      </c>
      <c r="B326" s="22"/>
      <c r="C326" s="28">
        <f>ROUND(0.116318817009999,6)</f>
        <v>0.116319</v>
      </c>
      <c r="D326" s="28">
        <f>F326</f>
        <v>0.121017</v>
      </c>
      <c r="E326" s="28">
        <f>F326</f>
        <v>0.121017</v>
      </c>
      <c r="F326" s="28">
        <f>ROUND(0.121017,6)</f>
        <v>0.121017</v>
      </c>
      <c r="G326" s="24"/>
      <c r="H326" s="36"/>
    </row>
    <row r="327" spans="1:8" ht="12.75" customHeight="1">
      <c r="A327" s="22">
        <v>43178</v>
      </c>
      <c r="B327" s="22"/>
      <c r="C327" s="28">
        <f>ROUND(0.116318817009999,6)</f>
        <v>0.116319</v>
      </c>
      <c r="D327" s="28">
        <f>F327</f>
        <v>0.123323</v>
      </c>
      <c r="E327" s="28">
        <f>F327</f>
        <v>0.123323</v>
      </c>
      <c r="F327" s="28">
        <f>ROUND(0.123323,6)</f>
        <v>0.123323</v>
      </c>
      <c r="G327" s="24"/>
      <c r="H327" s="36"/>
    </row>
    <row r="328" spans="1:8" ht="12.75" customHeight="1">
      <c r="A328" s="22">
        <v>43269</v>
      </c>
      <c r="B328" s="22"/>
      <c r="C328" s="28">
        <f>ROUND(0.116318817009999,6)</f>
        <v>0.116319</v>
      </c>
      <c r="D328" s="28">
        <f>F328</f>
        <v>0.125631</v>
      </c>
      <c r="E328" s="28">
        <f>F328</f>
        <v>0.125631</v>
      </c>
      <c r="F328" s="28">
        <f>ROUND(0.125631,6)</f>
        <v>0.125631</v>
      </c>
      <c r="G328" s="24"/>
      <c r="H328" s="36"/>
    </row>
    <row r="329" spans="1:8" ht="12.75" customHeight="1">
      <c r="A329" s="22" t="s">
        <v>75</v>
      </c>
      <c r="B329" s="22"/>
      <c r="C329" s="23"/>
      <c r="D329" s="23"/>
      <c r="E329" s="23"/>
      <c r="F329" s="23"/>
      <c r="G329" s="24"/>
      <c r="H329" s="36"/>
    </row>
    <row r="330" spans="1:8" ht="12.75" customHeight="1">
      <c r="A330" s="22">
        <v>42905</v>
      </c>
      <c r="B330" s="22"/>
      <c r="C330" s="26">
        <f>ROUND(0.124598757964352,4)</f>
        <v>0.1246</v>
      </c>
      <c r="D330" s="26">
        <f>F330</f>
        <v>0.1246</v>
      </c>
      <c r="E330" s="26">
        <f>F330</f>
        <v>0.1246</v>
      </c>
      <c r="F330" s="26">
        <f>ROUND(0.1246,4)</f>
        <v>0.1246</v>
      </c>
      <c r="G330" s="24"/>
      <c r="H330" s="36"/>
    </row>
    <row r="331" spans="1:8" ht="12.75" customHeight="1">
      <c r="A331" s="22">
        <v>42996</v>
      </c>
      <c r="B331" s="22"/>
      <c r="C331" s="26">
        <f>ROUND(0.124598757964352,4)</f>
        <v>0.1246</v>
      </c>
      <c r="D331" s="26">
        <f>F331</f>
        <v>0.1244</v>
      </c>
      <c r="E331" s="26">
        <f>F331</f>
        <v>0.1244</v>
      </c>
      <c r="F331" s="26">
        <f>ROUND(0.1244,4)</f>
        <v>0.1244</v>
      </c>
      <c r="G331" s="24"/>
      <c r="H331" s="36"/>
    </row>
    <row r="332" spans="1:8" ht="12.75" customHeight="1">
      <c r="A332" s="22">
        <v>43087</v>
      </c>
      <c r="B332" s="22"/>
      <c r="C332" s="26">
        <f>ROUND(0.124598757964352,4)</f>
        <v>0.1246</v>
      </c>
      <c r="D332" s="26">
        <f>F332</f>
        <v>0.1238</v>
      </c>
      <c r="E332" s="26">
        <f>F332</f>
        <v>0.1238</v>
      </c>
      <c r="F332" s="26">
        <f>ROUND(0.1238,4)</f>
        <v>0.1238</v>
      </c>
      <c r="G332" s="24"/>
      <c r="H332" s="36"/>
    </row>
    <row r="333" spans="1:8" ht="12.75" customHeight="1">
      <c r="A333" s="22">
        <v>43178</v>
      </c>
      <c r="B333" s="22"/>
      <c r="C333" s="26">
        <f>ROUND(0.124598757964352,4)</f>
        <v>0.1246</v>
      </c>
      <c r="D333" s="26">
        <f>F333</f>
        <v>0.124</v>
      </c>
      <c r="E333" s="26">
        <f>F333</f>
        <v>0.124</v>
      </c>
      <c r="F333" s="26">
        <f>ROUND(0.124,4)</f>
        <v>0.124</v>
      </c>
      <c r="G333" s="24"/>
      <c r="H333" s="36"/>
    </row>
    <row r="334" spans="1:8" ht="12.75" customHeight="1">
      <c r="A334" s="22">
        <v>43269</v>
      </c>
      <c r="B334" s="22"/>
      <c r="C334" s="26">
        <f>ROUND(0.124598757964352,4)</f>
        <v>0.1246</v>
      </c>
      <c r="D334" s="26">
        <f>F334</f>
        <v>0.1228</v>
      </c>
      <c r="E334" s="26">
        <f>F334</f>
        <v>0.1228</v>
      </c>
      <c r="F334" s="26">
        <f>ROUND(0.1228,4)</f>
        <v>0.1228</v>
      </c>
      <c r="G334" s="24"/>
      <c r="H334" s="36"/>
    </row>
    <row r="335" spans="1:8" ht="12.75" customHeight="1">
      <c r="A335" s="22" t="s">
        <v>76</v>
      </c>
      <c r="B335" s="22"/>
      <c r="C335" s="23"/>
      <c r="D335" s="23"/>
      <c r="E335" s="23"/>
      <c r="F335" s="23"/>
      <c r="G335" s="24"/>
      <c r="H335" s="36"/>
    </row>
    <row r="336" spans="1:8" ht="12.75" customHeight="1">
      <c r="A336" s="22">
        <v>42905</v>
      </c>
      <c r="B336" s="22"/>
      <c r="C336" s="26">
        <f>ROUND(1.51419811894037,4)</f>
        <v>1.5142</v>
      </c>
      <c r="D336" s="26">
        <f>F336</f>
        <v>1.5176</v>
      </c>
      <c r="E336" s="26">
        <f>F336</f>
        <v>1.5176</v>
      </c>
      <c r="F336" s="26">
        <f>ROUND(1.5176,4)</f>
        <v>1.5176</v>
      </c>
      <c r="G336" s="24"/>
      <c r="H336" s="36"/>
    </row>
    <row r="337" spans="1:8" ht="12.75" customHeight="1">
      <c r="A337" s="22">
        <v>42996</v>
      </c>
      <c r="B337" s="22"/>
      <c r="C337" s="26">
        <f>ROUND(1.51419811894037,4)</f>
        <v>1.5142</v>
      </c>
      <c r="D337" s="26">
        <f>F337</f>
        <v>1.5435</v>
      </c>
      <c r="E337" s="26">
        <f>F337</f>
        <v>1.5435</v>
      </c>
      <c r="F337" s="26">
        <f>ROUND(1.5435,4)</f>
        <v>1.5435</v>
      </c>
      <c r="G337" s="24"/>
      <c r="H337" s="36"/>
    </row>
    <row r="338" spans="1:8" ht="12.75" customHeight="1">
      <c r="A338" s="22">
        <v>43087</v>
      </c>
      <c r="B338" s="22"/>
      <c r="C338" s="26">
        <f>ROUND(1.51419811894037,4)</f>
        <v>1.5142</v>
      </c>
      <c r="D338" s="26">
        <f>F338</f>
        <v>1.5689</v>
      </c>
      <c r="E338" s="26">
        <f>F338</f>
        <v>1.5689</v>
      </c>
      <c r="F338" s="26">
        <f>ROUND(1.5689,4)</f>
        <v>1.5689</v>
      </c>
      <c r="G338" s="24"/>
      <c r="H338" s="36"/>
    </row>
    <row r="339" spans="1:8" ht="12.75" customHeight="1">
      <c r="A339" s="22">
        <v>43178</v>
      </c>
      <c r="B339" s="22"/>
      <c r="C339" s="26">
        <f>ROUND(1.51419811894037,4)</f>
        <v>1.5142</v>
      </c>
      <c r="D339" s="26">
        <f>F339</f>
        <v>1.5939</v>
      </c>
      <c r="E339" s="26">
        <f>F339</f>
        <v>1.5939</v>
      </c>
      <c r="F339" s="26">
        <f>ROUND(1.5939,4)</f>
        <v>1.5939</v>
      </c>
      <c r="G339" s="24"/>
      <c r="H339" s="36"/>
    </row>
    <row r="340" spans="1:8" ht="12.75" customHeight="1">
      <c r="A340" s="22" t="s">
        <v>77</v>
      </c>
      <c r="B340" s="22"/>
      <c r="C340" s="23"/>
      <c r="D340" s="23"/>
      <c r="E340" s="23"/>
      <c r="F340" s="23"/>
      <c r="G340" s="24"/>
      <c r="H340" s="36"/>
    </row>
    <row r="341" spans="1:8" ht="12.75" customHeight="1">
      <c r="A341" s="22">
        <v>42905</v>
      </c>
      <c r="B341" s="22"/>
      <c r="C341" s="26">
        <f>ROUND(0.0892261001517451,4)</f>
        <v>0.0892</v>
      </c>
      <c r="D341" s="26">
        <f>F341</f>
        <v>0.0391</v>
      </c>
      <c r="E341" s="26">
        <f>F341</f>
        <v>0.0391</v>
      </c>
      <c r="F341" s="26">
        <f>ROUND(0.0391,4)</f>
        <v>0.0391</v>
      </c>
      <c r="G341" s="24"/>
      <c r="H341" s="36"/>
    </row>
    <row r="342" spans="1:8" ht="12.75" customHeight="1">
      <c r="A342" s="22">
        <v>42996</v>
      </c>
      <c r="B342" s="22"/>
      <c r="C342" s="26">
        <f>ROUND(0.0892261001517451,4)</f>
        <v>0.0892</v>
      </c>
      <c r="D342" s="26">
        <f>F342</f>
        <v>0.0383</v>
      </c>
      <c r="E342" s="26">
        <f>F342</f>
        <v>0.0383</v>
      </c>
      <c r="F342" s="26">
        <f>ROUND(0.0383,4)</f>
        <v>0.0383</v>
      </c>
      <c r="G342" s="24"/>
      <c r="H342" s="36"/>
    </row>
    <row r="343" spans="1:8" ht="12.75" customHeight="1">
      <c r="A343" s="22" t="s">
        <v>78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42905</v>
      </c>
      <c r="B344" s="22"/>
      <c r="C344" s="26">
        <f>ROUND(9.26875629166667,4)</f>
        <v>9.2688</v>
      </c>
      <c r="D344" s="26">
        <f>F344</f>
        <v>9.2763</v>
      </c>
      <c r="E344" s="26">
        <f>F344</f>
        <v>9.2763</v>
      </c>
      <c r="F344" s="26">
        <f>ROUND(9.2763,4)</f>
        <v>9.2763</v>
      </c>
      <c r="G344" s="24"/>
      <c r="H344" s="36"/>
    </row>
    <row r="345" spans="1:8" ht="12.75" customHeight="1">
      <c r="A345" s="22">
        <v>42996</v>
      </c>
      <c r="B345" s="22"/>
      <c r="C345" s="26">
        <f>ROUND(9.26875629166667,4)</f>
        <v>9.2688</v>
      </c>
      <c r="D345" s="26">
        <f>F345</f>
        <v>9.4029</v>
      </c>
      <c r="E345" s="26">
        <f>F345</f>
        <v>9.4029</v>
      </c>
      <c r="F345" s="26">
        <f>ROUND(9.4029,4)</f>
        <v>9.4029</v>
      </c>
      <c r="G345" s="24"/>
      <c r="H345" s="36"/>
    </row>
    <row r="346" spans="1:8" ht="12.75" customHeight="1">
      <c r="A346" s="22">
        <v>43087</v>
      </c>
      <c r="B346" s="22"/>
      <c r="C346" s="26">
        <f>ROUND(9.26875629166667,4)</f>
        <v>9.2688</v>
      </c>
      <c r="D346" s="26">
        <f>F346</f>
        <v>9.5256</v>
      </c>
      <c r="E346" s="26">
        <f>F346</f>
        <v>9.5256</v>
      </c>
      <c r="F346" s="26">
        <f>ROUND(9.5256,4)</f>
        <v>9.5256</v>
      </c>
      <c r="G346" s="24"/>
      <c r="H346" s="36"/>
    </row>
    <row r="347" spans="1:8" ht="12.75" customHeight="1">
      <c r="A347" s="22">
        <v>43178</v>
      </c>
      <c r="B347" s="22"/>
      <c r="C347" s="26">
        <f>ROUND(9.26875629166667,4)</f>
        <v>9.2688</v>
      </c>
      <c r="D347" s="26">
        <f>F347</f>
        <v>9.643</v>
      </c>
      <c r="E347" s="26">
        <f>F347</f>
        <v>9.643</v>
      </c>
      <c r="F347" s="26">
        <f>ROUND(9.643,4)</f>
        <v>9.643</v>
      </c>
      <c r="G347" s="24"/>
      <c r="H347" s="36"/>
    </row>
    <row r="348" spans="1:8" ht="12.75" customHeight="1">
      <c r="A348" s="22" t="s">
        <v>79</v>
      </c>
      <c r="B348" s="22"/>
      <c r="C348" s="23"/>
      <c r="D348" s="23"/>
      <c r="E348" s="23"/>
      <c r="F348" s="23"/>
      <c r="G348" s="24"/>
      <c r="H348" s="36"/>
    </row>
    <row r="349" spans="1:8" ht="12.75" customHeight="1">
      <c r="A349" s="22">
        <v>42905</v>
      </c>
      <c r="B349" s="22"/>
      <c r="C349" s="26">
        <f>ROUND(9.30012762166197,4)</f>
        <v>9.3001</v>
      </c>
      <c r="D349" s="26">
        <f>F349</f>
        <v>9.3097</v>
      </c>
      <c r="E349" s="26">
        <f>F349</f>
        <v>9.3097</v>
      </c>
      <c r="F349" s="26">
        <f>ROUND(9.3097,4)</f>
        <v>9.3097</v>
      </c>
      <c r="G349" s="24"/>
      <c r="H349" s="36"/>
    </row>
    <row r="350" spans="1:8" ht="12.75" customHeight="1">
      <c r="A350" s="22">
        <v>42996</v>
      </c>
      <c r="B350" s="22"/>
      <c r="C350" s="26">
        <f>ROUND(9.30012762166197,4)</f>
        <v>9.3001</v>
      </c>
      <c r="D350" s="26">
        <f>F350</f>
        <v>9.4622</v>
      </c>
      <c r="E350" s="26">
        <f>F350</f>
        <v>9.4622</v>
      </c>
      <c r="F350" s="26">
        <f>ROUND(9.4622,4)</f>
        <v>9.4622</v>
      </c>
      <c r="G350" s="24"/>
      <c r="H350" s="36"/>
    </row>
    <row r="351" spans="1:8" ht="12.75" customHeight="1">
      <c r="A351" s="22">
        <v>43087</v>
      </c>
      <c r="B351" s="22"/>
      <c r="C351" s="26">
        <f>ROUND(9.30012762166197,4)</f>
        <v>9.3001</v>
      </c>
      <c r="D351" s="26">
        <f>F351</f>
        <v>9.6112</v>
      </c>
      <c r="E351" s="26">
        <f>F351</f>
        <v>9.6112</v>
      </c>
      <c r="F351" s="26">
        <f>ROUND(9.6112,4)</f>
        <v>9.6112</v>
      </c>
      <c r="G351" s="24"/>
      <c r="H351" s="36"/>
    </row>
    <row r="352" spans="1:8" ht="12.75" customHeight="1">
      <c r="A352" s="22">
        <v>43178</v>
      </c>
      <c r="B352" s="22"/>
      <c r="C352" s="26">
        <f>ROUND(9.30012762166197,4)</f>
        <v>9.3001</v>
      </c>
      <c r="D352" s="26">
        <f>F352</f>
        <v>9.7547</v>
      </c>
      <c r="E352" s="26">
        <f>F352</f>
        <v>9.7547</v>
      </c>
      <c r="F352" s="26">
        <f>ROUND(9.7547,4)</f>
        <v>9.7547</v>
      </c>
      <c r="G352" s="24"/>
      <c r="H352" s="36"/>
    </row>
    <row r="353" spans="1:8" ht="12.75" customHeight="1">
      <c r="A353" s="22" t="s">
        <v>80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42905</v>
      </c>
      <c r="B354" s="22"/>
      <c r="C354" s="26">
        <f>ROUND(3.64500755001888,4)</f>
        <v>3.645</v>
      </c>
      <c r="D354" s="26">
        <f>F354</f>
        <v>3.6419</v>
      </c>
      <c r="E354" s="26">
        <f>F354</f>
        <v>3.6419</v>
      </c>
      <c r="F354" s="26">
        <f>ROUND(3.6419,4)</f>
        <v>3.6419</v>
      </c>
      <c r="G354" s="24"/>
      <c r="H354" s="36"/>
    </row>
    <row r="355" spans="1:8" ht="12.75" customHeight="1">
      <c r="A355" s="22">
        <v>42996</v>
      </c>
      <c r="B355" s="22"/>
      <c r="C355" s="26">
        <f>ROUND(3.64500755001888,4)</f>
        <v>3.645</v>
      </c>
      <c r="D355" s="26">
        <f>F355</f>
        <v>3.6057</v>
      </c>
      <c r="E355" s="26">
        <f>F355</f>
        <v>3.6057</v>
      </c>
      <c r="F355" s="26">
        <f>ROUND(3.6057,4)</f>
        <v>3.6057</v>
      </c>
      <c r="G355" s="24"/>
      <c r="H355" s="36"/>
    </row>
    <row r="356" spans="1:8" ht="12.75" customHeight="1">
      <c r="A356" s="22">
        <v>43087</v>
      </c>
      <c r="B356" s="22"/>
      <c r="C356" s="26">
        <f>ROUND(3.64500755001888,4)</f>
        <v>3.645</v>
      </c>
      <c r="D356" s="26">
        <f>F356</f>
        <v>3.5733</v>
      </c>
      <c r="E356" s="26">
        <f>F356</f>
        <v>3.5733</v>
      </c>
      <c r="F356" s="26">
        <f>ROUND(3.5733,4)</f>
        <v>3.5733</v>
      </c>
      <c r="G356" s="24"/>
      <c r="H356" s="36"/>
    </row>
    <row r="357" spans="1:8" ht="12.75" customHeight="1">
      <c r="A357" s="22">
        <v>43178</v>
      </c>
      <c r="B357" s="22"/>
      <c r="C357" s="26">
        <f>ROUND(3.64500755001888,4)</f>
        <v>3.645</v>
      </c>
      <c r="D357" s="26">
        <f>F357</f>
        <v>3.5407</v>
      </c>
      <c r="E357" s="26">
        <f>F357</f>
        <v>3.5407</v>
      </c>
      <c r="F357" s="26">
        <f>ROUND(3.5407,4)</f>
        <v>3.5407</v>
      </c>
      <c r="G357" s="24"/>
      <c r="H357" s="36"/>
    </row>
    <row r="358" spans="1:8" ht="12.75" customHeight="1">
      <c r="A358" s="22" t="s">
        <v>81</v>
      </c>
      <c r="B358" s="22"/>
      <c r="C358" s="23"/>
      <c r="D358" s="23"/>
      <c r="E358" s="23"/>
      <c r="F358" s="23"/>
      <c r="G358" s="24"/>
      <c r="H358" s="36"/>
    </row>
    <row r="359" spans="1:8" ht="12.75" customHeight="1">
      <c r="A359" s="22">
        <v>42905</v>
      </c>
      <c r="B359" s="22"/>
      <c r="C359" s="26">
        <f>ROUND(12.8741666666667,4)</f>
        <v>12.8742</v>
      </c>
      <c r="D359" s="26">
        <f>F359</f>
        <v>12.8864</v>
      </c>
      <c r="E359" s="26">
        <f>F359</f>
        <v>12.8864</v>
      </c>
      <c r="F359" s="26">
        <f>ROUND(12.8864,4)</f>
        <v>12.8864</v>
      </c>
      <c r="G359" s="24"/>
      <c r="H359" s="36"/>
    </row>
    <row r="360" spans="1:8" ht="12.75" customHeight="1">
      <c r="A360" s="22">
        <v>42996</v>
      </c>
      <c r="B360" s="22"/>
      <c r="C360" s="26">
        <f>ROUND(12.8741666666667,4)</f>
        <v>12.8742</v>
      </c>
      <c r="D360" s="26">
        <f>F360</f>
        <v>13.0843</v>
      </c>
      <c r="E360" s="26">
        <f>F360</f>
        <v>13.0843</v>
      </c>
      <c r="F360" s="26">
        <f>ROUND(13.0843,4)</f>
        <v>13.0843</v>
      </c>
      <c r="G360" s="24"/>
      <c r="H360" s="36"/>
    </row>
    <row r="361" spans="1:8" ht="12.75" customHeight="1">
      <c r="A361" s="22">
        <v>43087</v>
      </c>
      <c r="B361" s="22"/>
      <c r="C361" s="26">
        <f>ROUND(12.8741666666667,4)</f>
        <v>12.8742</v>
      </c>
      <c r="D361" s="26">
        <f>F361</f>
        <v>13.2764</v>
      </c>
      <c r="E361" s="26">
        <f>F361</f>
        <v>13.2764</v>
      </c>
      <c r="F361" s="26">
        <f>ROUND(13.2764,4)</f>
        <v>13.2764</v>
      </c>
      <c r="G361" s="24"/>
      <c r="H361" s="36"/>
    </row>
    <row r="362" spans="1:8" ht="12.75" customHeight="1">
      <c r="A362" s="22">
        <v>43178</v>
      </c>
      <c r="B362" s="22"/>
      <c r="C362" s="26">
        <f>ROUND(12.8741666666667,4)</f>
        <v>12.8742</v>
      </c>
      <c r="D362" s="26">
        <f>F362</f>
        <v>13.4622</v>
      </c>
      <c r="E362" s="26">
        <f>F362</f>
        <v>13.4622</v>
      </c>
      <c r="F362" s="26">
        <f>ROUND(13.4622,4)</f>
        <v>13.4622</v>
      </c>
      <c r="G362" s="24"/>
      <c r="H362" s="36"/>
    </row>
    <row r="363" spans="1:8" ht="12.75" customHeight="1">
      <c r="A363" s="22">
        <v>43269</v>
      </c>
      <c r="B363" s="22"/>
      <c r="C363" s="26">
        <f>ROUND(12.8741666666667,4)</f>
        <v>12.8742</v>
      </c>
      <c r="D363" s="26">
        <f>F363</f>
        <v>13.6461</v>
      </c>
      <c r="E363" s="26">
        <f>F363</f>
        <v>13.6461</v>
      </c>
      <c r="F363" s="26">
        <f>ROUND(13.6461,4)</f>
        <v>13.6461</v>
      </c>
      <c r="G363" s="24"/>
      <c r="H363" s="36"/>
    </row>
    <row r="364" spans="1:8" ht="12.75" customHeight="1">
      <c r="A364" s="22" t="s">
        <v>82</v>
      </c>
      <c r="B364" s="22"/>
      <c r="C364" s="23"/>
      <c r="D364" s="23"/>
      <c r="E364" s="23"/>
      <c r="F364" s="23"/>
      <c r="G364" s="24"/>
      <c r="H364" s="36"/>
    </row>
    <row r="365" spans="1:8" ht="12.75" customHeight="1">
      <c r="A365" s="22">
        <v>42905</v>
      </c>
      <c r="B365" s="22"/>
      <c r="C365" s="26">
        <f>ROUND(12.8741666666667,4)</f>
        <v>12.8742</v>
      </c>
      <c r="D365" s="26">
        <f>F365</f>
        <v>12.8864</v>
      </c>
      <c r="E365" s="26">
        <f>F365</f>
        <v>12.8864</v>
      </c>
      <c r="F365" s="26">
        <f>ROUND(12.8864,4)</f>
        <v>12.8864</v>
      </c>
      <c r="G365" s="24"/>
      <c r="H365" s="36"/>
    </row>
    <row r="366" spans="1:8" ht="12.75" customHeight="1">
      <c r="A366" s="22">
        <v>42996</v>
      </c>
      <c r="B366" s="22"/>
      <c r="C366" s="26">
        <f>ROUND(12.8741666666667,4)</f>
        <v>12.8742</v>
      </c>
      <c r="D366" s="26">
        <f>F366</f>
        <v>13.0843</v>
      </c>
      <c r="E366" s="26">
        <f>F366</f>
        <v>13.0843</v>
      </c>
      <c r="F366" s="26">
        <f>ROUND(13.0843,4)</f>
        <v>13.0843</v>
      </c>
      <c r="G366" s="24"/>
      <c r="H366" s="36"/>
    </row>
    <row r="367" spans="1:8" ht="12.75" customHeight="1">
      <c r="A367" s="22">
        <v>43087</v>
      </c>
      <c r="B367" s="22"/>
      <c r="C367" s="26">
        <f>ROUND(12.8741666666667,4)</f>
        <v>12.8742</v>
      </c>
      <c r="D367" s="26">
        <f>F367</f>
        <v>13.2764</v>
      </c>
      <c r="E367" s="26">
        <f>F367</f>
        <v>13.2764</v>
      </c>
      <c r="F367" s="26">
        <f>ROUND(13.2764,4)</f>
        <v>13.2764</v>
      </c>
      <c r="G367" s="24"/>
      <c r="H367" s="36"/>
    </row>
    <row r="368" spans="1:8" ht="12.75" customHeight="1">
      <c r="A368" s="22">
        <v>43175</v>
      </c>
      <c r="B368" s="22"/>
      <c r="C368" s="26">
        <f>ROUND(12.8741666666667,4)</f>
        <v>12.8742</v>
      </c>
      <c r="D368" s="26">
        <f>F368</f>
        <v>17.5004</v>
      </c>
      <c r="E368" s="26">
        <f>F368</f>
        <v>17.5004</v>
      </c>
      <c r="F368" s="26">
        <f>ROUND(17.5004,4)</f>
        <v>17.5004</v>
      </c>
      <c r="G368" s="24"/>
      <c r="H368" s="36"/>
    </row>
    <row r="369" spans="1:8" ht="12.75" customHeight="1">
      <c r="A369" s="22">
        <v>43178</v>
      </c>
      <c r="B369" s="22"/>
      <c r="C369" s="26">
        <f>ROUND(12.8741666666667,4)</f>
        <v>12.8742</v>
      </c>
      <c r="D369" s="26">
        <f>F369</f>
        <v>13.4622</v>
      </c>
      <c r="E369" s="26">
        <f>F369</f>
        <v>13.4622</v>
      </c>
      <c r="F369" s="26">
        <f>ROUND(13.4622,4)</f>
        <v>13.4622</v>
      </c>
      <c r="G369" s="24"/>
      <c r="H369" s="36"/>
    </row>
    <row r="370" spans="1:8" ht="12.75" customHeight="1">
      <c r="A370" s="22">
        <v>43269</v>
      </c>
      <c r="B370" s="22"/>
      <c r="C370" s="26">
        <f>ROUND(12.8741666666667,4)</f>
        <v>12.8742</v>
      </c>
      <c r="D370" s="26">
        <f>F370</f>
        <v>13.6461</v>
      </c>
      <c r="E370" s="26">
        <f>F370</f>
        <v>13.6461</v>
      </c>
      <c r="F370" s="26">
        <f>ROUND(13.6461,4)</f>
        <v>13.6461</v>
      </c>
      <c r="G370" s="24"/>
      <c r="H370" s="36"/>
    </row>
    <row r="371" spans="1:8" ht="12.75" customHeight="1">
      <c r="A371" s="22">
        <v>43360</v>
      </c>
      <c r="B371" s="22"/>
      <c r="C371" s="26">
        <f>ROUND(12.8741666666667,4)</f>
        <v>12.8742</v>
      </c>
      <c r="D371" s="26">
        <f>F371</f>
        <v>13.8381</v>
      </c>
      <c r="E371" s="26">
        <f>F371</f>
        <v>13.8381</v>
      </c>
      <c r="F371" s="26">
        <f>ROUND(13.8381,4)</f>
        <v>13.8381</v>
      </c>
      <c r="G371" s="24"/>
      <c r="H371" s="36"/>
    </row>
    <row r="372" spans="1:8" ht="12.75" customHeight="1">
      <c r="A372" s="22">
        <v>43448</v>
      </c>
      <c r="B372" s="22"/>
      <c r="C372" s="26">
        <f>ROUND(12.8741666666667,4)</f>
        <v>12.8742</v>
      </c>
      <c r="D372" s="26">
        <f>F372</f>
        <v>14.0237</v>
      </c>
      <c r="E372" s="26">
        <f>F372</f>
        <v>14.0237</v>
      </c>
      <c r="F372" s="26">
        <f>ROUND(14.0237,4)</f>
        <v>14.0237</v>
      </c>
      <c r="G372" s="24"/>
      <c r="H372" s="36"/>
    </row>
    <row r="373" spans="1:8" ht="12.75" customHeight="1">
      <c r="A373" s="22">
        <v>43542</v>
      </c>
      <c r="B373" s="22"/>
      <c r="C373" s="26">
        <f>ROUND(12.8741666666667,4)</f>
        <v>12.8742</v>
      </c>
      <c r="D373" s="26">
        <f>F373</f>
        <v>14.2221</v>
      </c>
      <c r="E373" s="26">
        <f>F373</f>
        <v>14.2221</v>
      </c>
      <c r="F373" s="26">
        <f>ROUND(14.2221,4)</f>
        <v>14.2221</v>
      </c>
      <c r="G373" s="24"/>
      <c r="H373" s="36"/>
    </row>
    <row r="374" spans="1:8" ht="12.75" customHeight="1">
      <c r="A374" s="22">
        <v>43630</v>
      </c>
      <c r="B374" s="22"/>
      <c r="C374" s="26">
        <f>ROUND(12.8741666666667,4)</f>
        <v>12.8742</v>
      </c>
      <c r="D374" s="26">
        <f>F374</f>
        <v>14.408</v>
      </c>
      <c r="E374" s="26">
        <f>F374</f>
        <v>14.408</v>
      </c>
      <c r="F374" s="26">
        <f>ROUND(14.408,4)</f>
        <v>14.408</v>
      </c>
      <c r="G374" s="24"/>
      <c r="H374" s="36"/>
    </row>
    <row r="375" spans="1:8" ht="12.75" customHeight="1">
      <c r="A375" s="22">
        <v>43724</v>
      </c>
      <c r="B375" s="22"/>
      <c r="C375" s="26">
        <f>ROUND(12.8741666666667,4)</f>
        <v>12.8742</v>
      </c>
      <c r="D375" s="26">
        <f>F375</f>
        <v>14.6288</v>
      </c>
      <c r="E375" s="26">
        <f>F375</f>
        <v>14.6288</v>
      </c>
      <c r="F375" s="26">
        <f>ROUND(14.6288,4)</f>
        <v>14.6288</v>
      </c>
      <c r="G375" s="24"/>
      <c r="H375" s="36"/>
    </row>
    <row r="376" spans="1:8" ht="12.75" customHeight="1">
      <c r="A376" s="22">
        <v>43812</v>
      </c>
      <c r="B376" s="22"/>
      <c r="C376" s="26">
        <f>ROUND(12.8741666666667,4)</f>
        <v>12.8742</v>
      </c>
      <c r="D376" s="26">
        <f>F376</f>
        <v>14.8356</v>
      </c>
      <c r="E376" s="26">
        <f>F376</f>
        <v>14.8356</v>
      </c>
      <c r="F376" s="26">
        <f>ROUND(14.8356,4)</f>
        <v>14.8356</v>
      </c>
      <c r="G376" s="24"/>
      <c r="H376" s="36"/>
    </row>
    <row r="377" spans="1:8" ht="12.75" customHeight="1">
      <c r="A377" s="22">
        <v>43906</v>
      </c>
      <c r="B377" s="22"/>
      <c r="C377" s="26">
        <f>ROUND(12.8741666666667,4)</f>
        <v>12.8742</v>
      </c>
      <c r="D377" s="26">
        <f>F377</f>
        <v>15.0564</v>
      </c>
      <c r="E377" s="26">
        <f>F377</f>
        <v>15.0564</v>
      </c>
      <c r="F377" s="26">
        <f>ROUND(15.0564,4)</f>
        <v>15.0564</v>
      </c>
      <c r="G377" s="24"/>
      <c r="H377" s="36"/>
    </row>
    <row r="378" spans="1:8" ht="12.75" customHeight="1">
      <c r="A378" s="22">
        <v>43994</v>
      </c>
      <c r="B378" s="22"/>
      <c r="C378" s="26">
        <f>ROUND(12.8741666666667,4)</f>
        <v>12.8742</v>
      </c>
      <c r="D378" s="26">
        <f>F378</f>
        <v>15.2631</v>
      </c>
      <c r="E378" s="26">
        <f>F378</f>
        <v>15.2631</v>
      </c>
      <c r="F378" s="26">
        <f>ROUND(15.2631,4)</f>
        <v>15.2631</v>
      </c>
      <c r="G378" s="24"/>
      <c r="H378" s="36"/>
    </row>
    <row r="379" spans="1:8" ht="12.75" customHeight="1">
      <c r="A379" s="22" t="s">
        <v>83</v>
      </c>
      <c r="B379" s="22"/>
      <c r="C379" s="23"/>
      <c r="D379" s="23"/>
      <c r="E379" s="23"/>
      <c r="F379" s="23"/>
      <c r="G379" s="24"/>
      <c r="H379" s="36"/>
    </row>
    <row r="380" spans="1:8" ht="12.75" customHeight="1">
      <c r="A380" s="22">
        <v>42905</v>
      </c>
      <c r="B380" s="22"/>
      <c r="C380" s="26">
        <f>ROUND(1.39496875790082,4)</f>
        <v>1.395</v>
      </c>
      <c r="D380" s="26">
        <f>F380</f>
        <v>1.3931</v>
      </c>
      <c r="E380" s="26">
        <f>F380</f>
        <v>1.3931</v>
      </c>
      <c r="F380" s="26">
        <f>ROUND(1.3931,4)</f>
        <v>1.3931</v>
      </c>
      <c r="G380" s="24"/>
      <c r="H380" s="36"/>
    </row>
    <row r="381" spans="1:8" ht="12.75" customHeight="1">
      <c r="A381" s="22">
        <v>42996</v>
      </c>
      <c r="B381" s="22"/>
      <c r="C381" s="26">
        <f>ROUND(1.39496875790082,4)</f>
        <v>1.395</v>
      </c>
      <c r="D381" s="26">
        <f>F381</f>
        <v>1.3696</v>
      </c>
      <c r="E381" s="26">
        <f>F381</f>
        <v>1.3696</v>
      </c>
      <c r="F381" s="26">
        <f>ROUND(1.3696,4)</f>
        <v>1.3696</v>
      </c>
      <c r="G381" s="24"/>
      <c r="H381" s="36"/>
    </row>
    <row r="382" spans="1:8" ht="12.75" customHeight="1">
      <c r="A382" s="22">
        <v>43087</v>
      </c>
      <c r="B382" s="22"/>
      <c r="C382" s="26">
        <f>ROUND(1.39496875790082,4)</f>
        <v>1.395</v>
      </c>
      <c r="D382" s="26">
        <f>F382</f>
        <v>1.3456</v>
      </c>
      <c r="E382" s="26">
        <f>F382</f>
        <v>1.3456</v>
      </c>
      <c r="F382" s="26">
        <f>ROUND(1.3456,4)</f>
        <v>1.3456</v>
      </c>
      <c r="G382" s="24"/>
      <c r="H382" s="36"/>
    </row>
    <row r="383" spans="1:8" ht="12.75" customHeight="1">
      <c r="A383" s="22">
        <v>43178</v>
      </c>
      <c r="B383" s="22"/>
      <c r="C383" s="26">
        <f>ROUND(1.39496875790082,4)</f>
        <v>1.395</v>
      </c>
      <c r="D383" s="26">
        <f>F383</f>
        <v>1.3238</v>
      </c>
      <c r="E383" s="26">
        <f>F383</f>
        <v>1.3238</v>
      </c>
      <c r="F383" s="26">
        <f>ROUND(1.3238,4)</f>
        <v>1.3238</v>
      </c>
      <c r="G383" s="24"/>
      <c r="H383" s="36"/>
    </row>
    <row r="384" spans="1:8" ht="12.75" customHeight="1">
      <c r="A384" s="22" t="s">
        <v>84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42950</v>
      </c>
      <c r="B385" s="22"/>
      <c r="C385" s="27">
        <f>ROUND(613.573,3)</f>
        <v>613.573</v>
      </c>
      <c r="D385" s="27">
        <f>F385</f>
        <v>620.533</v>
      </c>
      <c r="E385" s="27">
        <f>F385</f>
        <v>620.533</v>
      </c>
      <c r="F385" s="27">
        <f>ROUND(620.533,3)</f>
        <v>620.533</v>
      </c>
      <c r="G385" s="24"/>
      <c r="H385" s="36"/>
    </row>
    <row r="386" spans="1:8" ht="12.75" customHeight="1">
      <c r="A386" s="22">
        <v>43041</v>
      </c>
      <c r="B386" s="22"/>
      <c r="C386" s="27">
        <f>ROUND(613.573,3)</f>
        <v>613.573</v>
      </c>
      <c r="D386" s="27">
        <f>F386</f>
        <v>632.397</v>
      </c>
      <c r="E386" s="27">
        <f>F386</f>
        <v>632.397</v>
      </c>
      <c r="F386" s="27">
        <f>ROUND(632.397,3)</f>
        <v>632.397</v>
      </c>
      <c r="G386" s="24"/>
      <c r="H386" s="36"/>
    </row>
    <row r="387" spans="1:8" ht="12.75" customHeight="1">
      <c r="A387" s="22">
        <v>43132</v>
      </c>
      <c r="B387" s="22"/>
      <c r="C387" s="27">
        <f>ROUND(613.573,3)</f>
        <v>613.573</v>
      </c>
      <c r="D387" s="27">
        <f>F387</f>
        <v>644.704</v>
      </c>
      <c r="E387" s="27">
        <f>F387</f>
        <v>644.704</v>
      </c>
      <c r="F387" s="27">
        <f>ROUND(644.704,3)</f>
        <v>644.704</v>
      </c>
      <c r="G387" s="24"/>
      <c r="H387" s="36"/>
    </row>
    <row r="388" spans="1:8" ht="12.75" customHeight="1">
      <c r="A388" s="22">
        <v>43223</v>
      </c>
      <c r="B388" s="22"/>
      <c r="C388" s="27">
        <f>ROUND(613.573,3)</f>
        <v>613.573</v>
      </c>
      <c r="D388" s="27">
        <f>F388</f>
        <v>657.278</v>
      </c>
      <c r="E388" s="27">
        <f>F388</f>
        <v>657.278</v>
      </c>
      <c r="F388" s="27">
        <f>ROUND(657.278,3)</f>
        <v>657.278</v>
      </c>
      <c r="G388" s="24"/>
      <c r="H388" s="36"/>
    </row>
    <row r="389" spans="1:8" ht="12.75" customHeight="1">
      <c r="A389" s="22" t="s">
        <v>85</v>
      </c>
      <c r="B389" s="22"/>
      <c r="C389" s="23"/>
      <c r="D389" s="23"/>
      <c r="E389" s="23"/>
      <c r="F389" s="23"/>
      <c r="G389" s="24"/>
      <c r="H389" s="36"/>
    </row>
    <row r="390" spans="1:8" ht="12.75" customHeight="1">
      <c r="A390" s="22">
        <v>42950</v>
      </c>
      <c r="B390" s="22"/>
      <c r="C390" s="27">
        <f>ROUND(541.988,3)</f>
        <v>541.988</v>
      </c>
      <c r="D390" s="27">
        <f>F390</f>
        <v>548.136</v>
      </c>
      <c r="E390" s="27">
        <f>F390</f>
        <v>548.136</v>
      </c>
      <c r="F390" s="27">
        <f>ROUND(548.136,3)</f>
        <v>548.136</v>
      </c>
      <c r="G390" s="24"/>
      <c r="H390" s="36"/>
    </row>
    <row r="391" spans="1:8" ht="12.75" customHeight="1">
      <c r="A391" s="22">
        <v>43041</v>
      </c>
      <c r="B391" s="22"/>
      <c r="C391" s="27">
        <f>ROUND(541.988,3)</f>
        <v>541.988</v>
      </c>
      <c r="D391" s="27">
        <f>F391</f>
        <v>558.616</v>
      </c>
      <c r="E391" s="27">
        <f>F391</f>
        <v>558.616</v>
      </c>
      <c r="F391" s="27">
        <f>ROUND(558.616,3)</f>
        <v>558.616</v>
      </c>
      <c r="G391" s="24"/>
      <c r="H391" s="36"/>
    </row>
    <row r="392" spans="1:8" ht="12.75" customHeight="1">
      <c r="A392" s="22">
        <v>43132</v>
      </c>
      <c r="B392" s="22"/>
      <c r="C392" s="27">
        <f>ROUND(541.988,3)</f>
        <v>541.988</v>
      </c>
      <c r="D392" s="27">
        <f>F392</f>
        <v>569.487</v>
      </c>
      <c r="E392" s="27">
        <f>F392</f>
        <v>569.487</v>
      </c>
      <c r="F392" s="27">
        <f>ROUND(569.487,3)</f>
        <v>569.487</v>
      </c>
      <c r="G392" s="24"/>
      <c r="H392" s="36"/>
    </row>
    <row r="393" spans="1:8" ht="12.75" customHeight="1">
      <c r="A393" s="22">
        <v>43223</v>
      </c>
      <c r="B393" s="22"/>
      <c r="C393" s="27">
        <f>ROUND(541.988,3)</f>
        <v>541.988</v>
      </c>
      <c r="D393" s="27">
        <f>F393</f>
        <v>580.594</v>
      </c>
      <c r="E393" s="27">
        <f>F393</f>
        <v>580.594</v>
      </c>
      <c r="F393" s="27">
        <f>ROUND(580.594,3)</f>
        <v>580.594</v>
      </c>
      <c r="G393" s="24"/>
      <c r="H393" s="36"/>
    </row>
    <row r="394" spans="1:8" ht="12.75" customHeight="1">
      <c r="A394" s="22" t="s">
        <v>86</v>
      </c>
      <c r="B394" s="22"/>
      <c r="C394" s="23"/>
      <c r="D394" s="23"/>
      <c r="E394" s="23"/>
      <c r="F394" s="23"/>
      <c r="G394" s="24"/>
      <c r="H394" s="36"/>
    </row>
    <row r="395" spans="1:8" ht="12.75" customHeight="1">
      <c r="A395" s="22">
        <v>42950</v>
      </c>
      <c r="B395" s="22"/>
      <c r="C395" s="27">
        <f>ROUND(626.059,3)</f>
        <v>626.059</v>
      </c>
      <c r="D395" s="27">
        <f>F395</f>
        <v>633.16</v>
      </c>
      <c r="E395" s="27">
        <f>F395</f>
        <v>633.16</v>
      </c>
      <c r="F395" s="27">
        <f>ROUND(633.16,3)</f>
        <v>633.16</v>
      </c>
      <c r="G395" s="24"/>
      <c r="H395" s="36"/>
    </row>
    <row r="396" spans="1:8" ht="12.75" customHeight="1">
      <c r="A396" s="22">
        <v>43041</v>
      </c>
      <c r="B396" s="22"/>
      <c r="C396" s="27">
        <f>ROUND(626.059,3)</f>
        <v>626.059</v>
      </c>
      <c r="D396" s="27">
        <f>F396</f>
        <v>645.266</v>
      </c>
      <c r="E396" s="27">
        <f>F396</f>
        <v>645.266</v>
      </c>
      <c r="F396" s="27">
        <f>ROUND(645.266,3)</f>
        <v>645.266</v>
      </c>
      <c r="G396" s="24"/>
      <c r="H396" s="36"/>
    </row>
    <row r="397" spans="1:8" ht="12.75" customHeight="1">
      <c r="A397" s="22">
        <v>43132</v>
      </c>
      <c r="B397" s="22"/>
      <c r="C397" s="27">
        <f>ROUND(626.059,3)</f>
        <v>626.059</v>
      </c>
      <c r="D397" s="27">
        <f>F397</f>
        <v>657.824</v>
      </c>
      <c r="E397" s="27">
        <f>F397</f>
        <v>657.824</v>
      </c>
      <c r="F397" s="27">
        <f>ROUND(657.824,3)</f>
        <v>657.824</v>
      </c>
      <c r="G397" s="24"/>
      <c r="H397" s="36"/>
    </row>
    <row r="398" spans="1:8" ht="12.75" customHeight="1">
      <c r="A398" s="22">
        <v>43223</v>
      </c>
      <c r="B398" s="22"/>
      <c r="C398" s="27">
        <f>ROUND(626.059,3)</f>
        <v>626.059</v>
      </c>
      <c r="D398" s="27">
        <f>F398</f>
        <v>670.653</v>
      </c>
      <c r="E398" s="27">
        <f>F398</f>
        <v>670.653</v>
      </c>
      <c r="F398" s="27">
        <f>ROUND(670.653,3)</f>
        <v>670.653</v>
      </c>
      <c r="G398" s="24"/>
      <c r="H398" s="36"/>
    </row>
    <row r="399" spans="1:8" ht="12.75" customHeight="1">
      <c r="A399" s="22" t="s">
        <v>87</v>
      </c>
      <c r="B399" s="22"/>
      <c r="C399" s="23"/>
      <c r="D399" s="23"/>
      <c r="E399" s="23"/>
      <c r="F399" s="23"/>
      <c r="G399" s="24"/>
      <c r="H399" s="36"/>
    </row>
    <row r="400" spans="1:8" ht="12.75" customHeight="1">
      <c r="A400" s="22">
        <v>42950</v>
      </c>
      <c r="B400" s="22"/>
      <c r="C400" s="27">
        <f>ROUND(563.742,3)</f>
        <v>563.742</v>
      </c>
      <c r="D400" s="27">
        <f>F400</f>
        <v>570.136</v>
      </c>
      <c r="E400" s="27">
        <f>F400</f>
        <v>570.136</v>
      </c>
      <c r="F400" s="27">
        <f>ROUND(570.136,3)</f>
        <v>570.136</v>
      </c>
      <c r="G400" s="24"/>
      <c r="H400" s="36"/>
    </row>
    <row r="401" spans="1:8" ht="12.75" customHeight="1">
      <c r="A401" s="22">
        <v>43041</v>
      </c>
      <c r="B401" s="22"/>
      <c r="C401" s="27">
        <f>ROUND(563.742,3)</f>
        <v>563.742</v>
      </c>
      <c r="D401" s="27">
        <f>F401</f>
        <v>581.038</v>
      </c>
      <c r="E401" s="27">
        <f>F401</f>
        <v>581.038</v>
      </c>
      <c r="F401" s="27">
        <f>ROUND(581.038,3)</f>
        <v>581.038</v>
      </c>
      <c r="G401" s="24"/>
      <c r="H401" s="36"/>
    </row>
    <row r="402" spans="1:8" ht="12.75" customHeight="1">
      <c r="A402" s="22">
        <v>43132</v>
      </c>
      <c r="B402" s="22"/>
      <c r="C402" s="27">
        <f>ROUND(563.742,3)</f>
        <v>563.742</v>
      </c>
      <c r="D402" s="27">
        <f>F402</f>
        <v>592.345</v>
      </c>
      <c r="E402" s="27">
        <f>F402</f>
        <v>592.345</v>
      </c>
      <c r="F402" s="27">
        <f>ROUND(592.345,3)</f>
        <v>592.345</v>
      </c>
      <c r="G402" s="24"/>
      <c r="H402" s="36"/>
    </row>
    <row r="403" spans="1:8" ht="12.75" customHeight="1">
      <c r="A403" s="22">
        <v>43223</v>
      </c>
      <c r="B403" s="22"/>
      <c r="C403" s="27">
        <f>ROUND(563.742,3)</f>
        <v>563.742</v>
      </c>
      <c r="D403" s="27">
        <f>F403</f>
        <v>603.897</v>
      </c>
      <c r="E403" s="27">
        <f>F403</f>
        <v>603.897</v>
      </c>
      <c r="F403" s="27">
        <f>ROUND(603.897,3)</f>
        <v>603.897</v>
      </c>
      <c r="G403" s="24"/>
      <c r="H403" s="36"/>
    </row>
    <row r="404" spans="1:8" ht="12.75" customHeight="1">
      <c r="A404" s="22" t="s">
        <v>88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42950</v>
      </c>
      <c r="B405" s="22"/>
      <c r="C405" s="27">
        <f>ROUND(247.041923503128,3)</f>
        <v>247.042</v>
      </c>
      <c r="D405" s="27">
        <f>F405</f>
        <v>249.874</v>
      </c>
      <c r="E405" s="27">
        <f>F405</f>
        <v>249.874</v>
      </c>
      <c r="F405" s="27">
        <f>ROUND(249.874,3)</f>
        <v>249.874</v>
      </c>
      <c r="G405" s="24"/>
      <c r="H405" s="36"/>
    </row>
    <row r="406" spans="1:8" ht="12.75" customHeight="1">
      <c r="A406" s="22">
        <v>43041</v>
      </c>
      <c r="B406" s="22"/>
      <c r="C406" s="27">
        <f>ROUND(247.041923503128,3)</f>
        <v>247.042</v>
      </c>
      <c r="D406" s="27">
        <f>F406</f>
        <v>254.714</v>
      </c>
      <c r="E406" s="27">
        <f>F406</f>
        <v>254.714</v>
      </c>
      <c r="F406" s="27">
        <f>ROUND(254.714,3)</f>
        <v>254.714</v>
      </c>
      <c r="G406" s="24"/>
      <c r="H406" s="36"/>
    </row>
    <row r="407" spans="1:8" ht="12.75" customHeight="1">
      <c r="A407" s="22">
        <v>43132</v>
      </c>
      <c r="B407" s="22"/>
      <c r="C407" s="27">
        <f>ROUND(247.041923503128,3)</f>
        <v>247.042</v>
      </c>
      <c r="D407" s="27">
        <f>F407</f>
        <v>259.782</v>
      </c>
      <c r="E407" s="27">
        <f>F407</f>
        <v>259.782</v>
      </c>
      <c r="F407" s="27">
        <f>ROUND(259.782,3)</f>
        <v>259.782</v>
      </c>
      <c r="G407" s="24"/>
      <c r="H407" s="36"/>
    </row>
    <row r="408" spans="1:8" ht="12.75" customHeight="1">
      <c r="A408" s="22">
        <v>43223</v>
      </c>
      <c r="B408" s="22"/>
      <c r="C408" s="27">
        <f>ROUND(247.041923503128,3)</f>
        <v>247.042</v>
      </c>
      <c r="D408" s="27">
        <f>F408</f>
        <v>265.022</v>
      </c>
      <c r="E408" s="27">
        <f>F408</f>
        <v>265.022</v>
      </c>
      <c r="F408" s="27">
        <f>ROUND(265.022,3)</f>
        <v>265.022</v>
      </c>
      <c r="G408" s="24"/>
      <c r="H408" s="36"/>
    </row>
    <row r="409" spans="1:8" ht="12.75" customHeight="1">
      <c r="A409" s="22" t="s">
        <v>89</v>
      </c>
      <c r="B409" s="22"/>
      <c r="C409" s="23"/>
      <c r="D409" s="23"/>
      <c r="E409" s="23"/>
      <c r="F409" s="23"/>
      <c r="G409" s="24"/>
      <c r="H409" s="36"/>
    </row>
    <row r="410" spans="1:8" ht="12.75" customHeight="1">
      <c r="A410" s="22">
        <v>42950</v>
      </c>
      <c r="B410" s="22"/>
      <c r="C410" s="27">
        <f>ROUND(675.731,3)</f>
        <v>675.731</v>
      </c>
      <c r="D410" s="27">
        <f>F410</f>
        <v>695.694</v>
      </c>
      <c r="E410" s="27">
        <f>F410</f>
        <v>695.694</v>
      </c>
      <c r="F410" s="27">
        <f>ROUND(695.694,3)</f>
        <v>695.694</v>
      </c>
      <c r="G410" s="24"/>
      <c r="H410" s="36"/>
    </row>
    <row r="411" spans="1:8" ht="12.75" customHeight="1">
      <c r="A411" s="22">
        <v>43041</v>
      </c>
      <c r="B411" s="22"/>
      <c r="C411" s="27">
        <f>ROUND(675.731,3)</f>
        <v>675.731</v>
      </c>
      <c r="D411" s="27">
        <f>F411</f>
        <v>709.665</v>
      </c>
      <c r="E411" s="27">
        <f>F411</f>
        <v>709.665</v>
      </c>
      <c r="F411" s="27">
        <f>ROUND(709.665,3)</f>
        <v>709.665</v>
      </c>
      <c r="G411" s="24"/>
      <c r="H411" s="36"/>
    </row>
    <row r="412" spans="1:8" ht="12.75" customHeight="1">
      <c r="A412" s="22">
        <v>43132</v>
      </c>
      <c r="B412" s="22"/>
      <c r="C412" s="27">
        <f>ROUND(675.731,3)</f>
        <v>675.731</v>
      </c>
      <c r="D412" s="27">
        <f>F412</f>
        <v>724.173</v>
      </c>
      <c r="E412" s="27">
        <f>F412</f>
        <v>724.173</v>
      </c>
      <c r="F412" s="27">
        <f>ROUND(724.173,3)</f>
        <v>724.173</v>
      </c>
      <c r="G412" s="24"/>
      <c r="H412" s="36"/>
    </row>
    <row r="413" spans="1:8" ht="12.75" customHeight="1">
      <c r="A413" s="22" t="s">
        <v>90</v>
      </c>
      <c r="B413" s="22"/>
      <c r="C413" s="23"/>
      <c r="D413" s="23"/>
      <c r="E413" s="23"/>
      <c r="F413" s="23"/>
      <c r="G413" s="24"/>
      <c r="H413" s="36"/>
    </row>
    <row r="414" spans="1:8" ht="12.75" customHeight="1">
      <c r="A414" s="22">
        <v>42905</v>
      </c>
      <c r="B414" s="22"/>
      <c r="C414" s="24">
        <f>ROUND(22145.86,2)</f>
        <v>22145.86</v>
      </c>
      <c r="D414" s="24">
        <f>F414</f>
        <v>22178.45</v>
      </c>
      <c r="E414" s="24">
        <f>F414</f>
        <v>22178.45</v>
      </c>
      <c r="F414" s="24">
        <f>ROUND(22178.45,2)</f>
        <v>22178.45</v>
      </c>
      <c r="G414" s="24"/>
      <c r="H414" s="36"/>
    </row>
    <row r="415" spans="1:8" ht="12.75" customHeight="1">
      <c r="A415" s="22">
        <v>42996</v>
      </c>
      <c r="B415" s="22"/>
      <c r="C415" s="24">
        <f>ROUND(22145.86,2)</f>
        <v>22145.86</v>
      </c>
      <c r="D415" s="24">
        <f>F415</f>
        <v>22533.59</v>
      </c>
      <c r="E415" s="24">
        <f>F415</f>
        <v>22533.59</v>
      </c>
      <c r="F415" s="24">
        <f>ROUND(22533.59,2)</f>
        <v>22533.59</v>
      </c>
      <c r="G415" s="24"/>
      <c r="H415" s="36"/>
    </row>
    <row r="416" spans="1:8" ht="12.75" customHeight="1">
      <c r="A416" s="22">
        <v>43087</v>
      </c>
      <c r="B416" s="22"/>
      <c r="C416" s="24">
        <f>ROUND(22145.86,2)</f>
        <v>22145.86</v>
      </c>
      <c r="D416" s="24">
        <f>F416</f>
        <v>22889.14</v>
      </c>
      <c r="E416" s="24">
        <f>F416</f>
        <v>22889.14</v>
      </c>
      <c r="F416" s="24">
        <f>ROUND(22889.14,2)</f>
        <v>22889.14</v>
      </c>
      <c r="G416" s="24"/>
      <c r="H416" s="36"/>
    </row>
    <row r="417" spans="1:8" ht="12.75" customHeight="1">
      <c r="A417" s="22" t="s">
        <v>91</v>
      </c>
      <c r="B417" s="22"/>
      <c r="C417" s="23"/>
      <c r="D417" s="23"/>
      <c r="E417" s="23"/>
      <c r="F417" s="23"/>
      <c r="G417" s="24"/>
      <c r="H417" s="36"/>
    </row>
    <row r="418" spans="1:8" ht="12.75" customHeight="1">
      <c r="A418" s="22">
        <v>42907</v>
      </c>
      <c r="B418" s="22"/>
      <c r="C418" s="27">
        <f>ROUND(7.333,3)</f>
        <v>7.333</v>
      </c>
      <c r="D418" s="27">
        <f>ROUND(7.38,3)</f>
        <v>7.38</v>
      </c>
      <c r="E418" s="27">
        <f>ROUND(7.28,3)</f>
        <v>7.28</v>
      </c>
      <c r="F418" s="27">
        <f>ROUND(7.33,3)</f>
        <v>7.33</v>
      </c>
      <c r="G418" s="24"/>
      <c r="H418" s="36"/>
    </row>
    <row r="419" spans="1:8" ht="12.75" customHeight="1">
      <c r="A419" s="22">
        <v>42935</v>
      </c>
      <c r="B419" s="22"/>
      <c r="C419" s="27">
        <f>ROUND(7.333,3)</f>
        <v>7.333</v>
      </c>
      <c r="D419" s="27">
        <f>ROUND(7.34,3)</f>
        <v>7.34</v>
      </c>
      <c r="E419" s="27">
        <f>ROUND(7.24,3)</f>
        <v>7.24</v>
      </c>
      <c r="F419" s="27">
        <f>ROUND(7.29,3)</f>
        <v>7.29</v>
      </c>
      <c r="G419" s="24"/>
      <c r="H419" s="36"/>
    </row>
    <row r="420" spans="1:8" ht="12.75" customHeight="1">
      <c r="A420" s="22">
        <v>42963</v>
      </c>
      <c r="B420" s="22"/>
      <c r="C420" s="27">
        <f>ROUND(7.333,3)</f>
        <v>7.333</v>
      </c>
      <c r="D420" s="27">
        <f>ROUND(7.31,3)</f>
        <v>7.31</v>
      </c>
      <c r="E420" s="27">
        <f>ROUND(7.21,3)</f>
        <v>7.21</v>
      </c>
      <c r="F420" s="27">
        <f>ROUND(7.26,3)</f>
        <v>7.26</v>
      </c>
      <c r="G420" s="24"/>
      <c r="H420" s="36"/>
    </row>
    <row r="421" spans="1:8" ht="12.75" customHeight="1">
      <c r="A421" s="22">
        <v>42998</v>
      </c>
      <c r="B421" s="22"/>
      <c r="C421" s="27">
        <f>ROUND(7.333,3)</f>
        <v>7.333</v>
      </c>
      <c r="D421" s="27">
        <f>ROUND(7.26,3)</f>
        <v>7.26</v>
      </c>
      <c r="E421" s="27">
        <f>ROUND(7.16,3)</f>
        <v>7.16</v>
      </c>
      <c r="F421" s="27">
        <f>ROUND(7.21,3)</f>
        <v>7.21</v>
      </c>
      <c r="G421" s="24"/>
      <c r="H421" s="36"/>
    </row>
    <row r="422" spans="1:8" ht="12.75" customHeight="1">
      <c r="A422" s="22">
        <v>43026</v>
      </c>
      <c r="B422" s="22"/>
      <c r="C422" s="27">
        <f>ROUND(7.333,3)</f>
        <v>7.333</v>
      </c>
      <c r="D422" s="27">
        <f>ROUND(7.22,3)</f>
        <v>7.22</v>
      </c>
      <c r="E422" s="27">
        <f>ROUND(7.12,3)</f>
        <v>7.12</v>
      </c>
      <c r="F422" s="27">
        <f>ROUND(7.17,3)</f>
        <v>7.17</v>
      </c>
      <c r="G422" s="24"/>
      <c r="H422" s="36"/>
    </row>
    <row r="423" spans="1:8" ht="12.75" customHeight="1">
      <c r="A423" s="22">
        <v>43054</v>
      </c>
      <c r="B423" s="22"/>
      <c r="C423" s="27">
        <f>ROUND(7.333,3)</f>
        <v>7.333</v>
      </c>
      <c r="D423" s="27">
        <f>ROUND(7.18,3)</f>
        <v>7.18</v>
      </c>
      <c r="E423" s="27">
        <f>ROUND(7.08,3)</f>
        <v>7.08</v>
      </c>
      <c r="F423" s="27">
        <f>ROUND(7.13,3)</f>
        <v>7.13</v>
      </c>
      <c r="G423" s="24"/>
      <c r="H423" s="36"/>
    </row>
    <row r="424" spans="1:8" ht="12.75" customHeight="1">
      <c r="A424" s="22">
        <v>43089</v>
      </c>
      <c r="B424" s="22"/>
      <c r="C424" s="27">
        <f>ROUND(7.333,3)</f>
        <v>7.333</v>
      </c>
      <c r="D424" s="27">
        <f>ROUND(7.14,3)</f>
        <v>7.14</v>
      </c>
      <c r="E424" s="27">
        <f>ROUND(7.04,3)</f>
        <v>7.04</v>
      </c>
      <c r="F424" s="27">
        <f>ROUND(7.09,3)</f>
        <v>7.09</v>
      </c>
      <c r="G424" s="24"/>
      <c r="H424" s="36"/>
    </row>
    <row r="425" spans="1:8" ht="12.75" customHeight="1">
      <c r="A425" s="22">
        <v>43179</v>
      </c>
      <c r="B425" s="22"/>
      <c r="C425" s="27">
        <f>ROUND(7.333,3)</f>
        <v>7.333</v>
      </c>
      <c r="D425" s="27">
        <f>ROUND(7.06,3)</f>
        <v>7.06</v>
      </c>
      <c r="E425" s="27">
        <f>ROUND(6.96,3)</f>
        <v>6.96</v>
      </c>
      <c r="F425" s="27">
        <f>ROUND(7.01,3)</f>
        <v>7.01</v>
      </c>
      <c r="G425" s="24"/>
      <c r="H425" s="36"/>
    </row>
    <row r="426" spans="1:8" ht="12.75" customHeight="1">
      <c r="A426" s="22">
        <v>43269</v>
      </c>
      <c r="B426" s="22"/>
      <c r="C426" s="27">
        <f>ROUND(7.333,3)</f>
        <v>7.333</v>
      </c>
      <c r="D426" s="27">
        <f>ROUND(7.51,3)</f>
        <v>7.51</v>
      </c>
      <c r="E426" s="27">
        <f>ROUND(7.41,3)</f>
        <v>7.41</v>
      </c>
      <c r="F426" s="27">
        <f>ROUND(7.46,3)</f>
        <v>7.46</v>
      </c>
      <c r="G426" s="24"/>
      <c r="H426" s="36"/>
    </row>
    <row r="427" spans="1:8" ht="12.75" customHeight="1">
      <c r="A427" s="22">
        <v>43271</v>
      </c>
      <c r="B427" s="22"/>
      <c r="C427" s="27">
        <f>ROUND(7.333,3)</f>
        <v>7.333</v>
      </c>
      <c r="D427" s="27">
        <f>ROUND(7.04,3)</f>
        <v>7.04</v>
      </c>
      <c r="E427" s="27">
        <f>ROUND(6.94,3)</f>
        <v>6.94</v>
      </c>
      <c r="F427" s="27">
        <f>ROUND(6.99,3)</f>
        <v>6.99</v>
      </c>
      <c r="G427" s="24"/>
      <c r="H427" s="36"/>
    </row>
    <row r="428" spans="1:8" ht="12.75" customHeight="1">
      <c r="A428" s="22">
        <v>43362</v>
      </c>
      <c r="B428" s="22"/>
      <c r="C428" s="27">
        <f>ROUND(7.333,3)</f>
        <v>7.333</v>
      </c>
      <c r="D428" s="27">
        <f>ROUND(7.09,3)</f>
        <v>7.09</v>
      </c>
      <c r="E428" s="27">
        <f>ROUND(6.99,3)</f>
        <v>6.99</v>
      </c>
      <c r="F428" s="27">
        <f>ROUND(7.04,3)</f>
        <v>7.04</v>
      </c>
      <c r="G428" s="24"/>
      <c r="H428" s="36"/>
    </row>
    <row r="429" spans="1:8" ht="12.75" customHeight="1">
      <c r="A429" s="22">
        <v>43453</v>
      </c>
      <c r="B429" s="22"/>
      <c r="C429" s="27">
        <f>ROUND(7.333,3)</f>
        <v>7.333</v>
      </c>
      <c r="D429" s="27">
        <f>ROUND(7.14,3)</f>
        <v>7.14</v>
      </c>
      <c r="E429" s="27">
        <f>ROUND(7.04,3)</f>
        <v>7.04</v>
      </c>
      <c r="F429" s="27">
        <f>ROUND(7.09,3)</f>
        <v>7.09</v>
      </c>
      <c r="G429" s="24"/>
      <c r="H429" s="36"/>
    </row>
    <row r="430" spans="1:8" ht="12.75" customHeight="1">
      <c r="A430" s="22">
        <v>43544</v>
      </c>
      <c r="B430" s="22"/>
      <c r="C430" s="27">
        <f>ROUND(7.333,3)</f>
        <v>7.333</v>
      </c>
      <c r="D430" s="27">
        <f>ROUND(7.19,3)</f>
        <v>7.19</v>
      </c>
      <c r="E430" s="27">
        <f>ROUND(7.09,3)</f>
        <v>7.09</v>
      </c>
      <c r="F430" s="27">
        <f>ROUND(7.14,3)</f>
        <v>7.14</v>
      </c>
      <c r="G430" s="24"/>
      <c r="H430" s="36"/>
    </row>
    <row r="431" spans="1:8" ht="12.75" customHeight="1">
      <c r="A431" s="22" t="s">
        <v>92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42950</v>
      </c>
      <c r="B432" s="22"/>
      <c r="C432" s="27">
        <f>ROUND(562.272,3)</f>
        <v>562.272</v>
      </c>
      <c r="D432" s="27">
        <f>F432</f>
        <v>568.65</v>
      </c>
      <c r="E432" s="27">
        <f>F432</f>
        <v>568.65</v>
      </c>
      <c r="F432" s="27">
        <f>ROUND(568.65,3)</f>
        <v>568.65</v>
      </c>
      <c r="G432" s="24"/>
      <c r="H432" s="36"/>
    </row>
    <row r="433" spans="1:8" ht="12.75" customHeight="1">
      <c r="A433" s="22">
        <v>43041</v>
      </c>
      <c r="B433" s="22"/>
      <c r="C433" s="27">
        <f>ROUND(562.272,3)</f>
        <v>562.272</v>
      </c>
      <c r="D433" s="27">
        <f>F433</f>
        <v>579.523</v>
      </c>
      <c r="E433" s="27">
        <f>F433</f>
        <v>579.523</v>
      </c>
      <c r="F433" s="27">
        <f>ROUND(579.523,3)</f>
        <v>579.523</v>
      </c>
      <c r="G433" s="24"/>
      <c r="H433" s="36"/>
    </row>
    <row r="434" spans="1:8" ht="12.75" customHeight="1">
      <c r="A434" s="22">
        <v>43132</v>
      </c>
      <c r="B434" s="22"/>
      <c r="C434" s="27">
        <f>ROUND(562.272,3)</f>
        <v>562.272</v>
      </c>
      <c r="D434" s="27">
        <f>F434</f>
        <v>590.8</v>
      </c>
      <c r="E434" s="27">
        <f>F434</f>
        <v>590.8</v>
      </c>
      <c r="F434" s="27">
        <f>ROUND(590.8,3)</f>
        <v>590.8</v>
      </c>
      <c r="G434" s="24"/>
      <c r="H434" s="36"/>
    </row>
    <row r="435" spans="1:8" ht="12.75" customHeight="1">
      <c r="A435" s="22">
        <v>43223</v>
      </c>
      <c r="B435" s="22"/>
      <c r="C435" s="27">
        <f>ROUND(562.272,3)</f>
        <v>562.272</v>
      </c>
      <c r="D435" s="27">
        <f>F435</f>
        <v>602.323</v>
      </c>
      <c r="E435" s="27">
        <f>F435</f>
        <v>602.323</v>
      </c>
      <c r="F435" s="27">
        <f>ROUND(602.323,3)</f>
        <v>602.323</v>
      </c>
      <c r="G435" s="24"/>
      <c r="H435" s="36"/>
    </row>
    <row r="436" spans="1:8" ht="12.75" customHeight="1">
      <c r="A436" s="22" t="s">
        <v>93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42901</v>
      </c>
      <c r="B437" s="22"/>
      <c r="C437" s="25">
        <f>ROUND(99.8870292131851,5)</f>
        <v>99.88703</v>
      </c>
      <c r="D437" s="25">
        <f>F437</f>
        <v>99.60697</v>
      </c>
      <c r="E437" s="25">
        <f>F437</f>
        <v>99.60697</v>
      </c>
      <c r="F437" s="25">
        <f>ROUND(99.6069691608342,5)</f>
        <v>99.60697</v>
      </c>
      <c r="G437" s="24"/>
      <c r="H437" s="36"/>
    </row>
    <row r="438" spans="1:8" ht="12.75" customHeight="1">
      <c r="A438" s="22" t="s">
        <v>94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42999</v>
      </c>
      <c r="B439" s="22"/>
      <c r="C439" s="25">
        <f>ROUND(99.8870292131851,5)</f>
        <v>99.88703</v>
      </c>
      <c r="D439" s="25">
        <f>F439</f>
        <v>99.61676</v>
      </c>
      <c r="E439" s="25">
        <f>F439</f>
        <v>99.61676</v>
      </c>
      <c r="F439" s="25">
        <f>ROUND(99.6167579114641,5)</f>
        <v>99.61676</v>
      </c>
      <c r="G439" s="24"/>
      <c r="H439" s="36"/>
    </row>
    <row r="440" spans="1:8" ht="12.75" customHeight="1">
      <c r="A440" s="22" t="s">
        <v>95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43090</v>
      </c>
      <c r="B441" s="22"/>
      <c r="C441" s="25">
        <f>ROUND(99.8870292131851,5)</f>
        <v>99.88703</v>
      </c>
      <c r="D441" s="25">
        <f>F441</f>
        <v>99.8172</v>
      </c>
      <c r="E441" s="25">
        <f>F441</f>
        <v>99.8172</v>
      </c>
      <c r="F441" s="25">
        <f>ROUND(99.817199220433,5)</f>
        <v>99.8172</v>
      </c>
      <c r="G441" s="24"/>
      <c r="H441" s="36"/>
    </row>
    <row r="442" spans="1:8" ht="12.75" customHeight="1">
      <c r="A442" s="22" t="s">
        <v>96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43174</v>
      </c>
      <c r="B443" s="22"/>
      <c r="C443" s="25">
        <f>ROUND(99.8870292131851,5)</f>
        <v>99.88703</v>
      </c>
      <c r="D443" s="25">
        <f>F443</f>
        <v>99.74943</v>
      </c>
      <c r="E443" s="25">
        <f>F443</f>
        <v>99.74943</v>
      </c>
      <c r="F443" s="25">
        <f>ROUND(99.749426323046,5)</f>
        <v>99.74943</v>
      </c>
      <c r="G443" s="24"/>
      <c r="H443" s="36"/>
    </row>
    <row r="444" spans="1:8" ht="12.75" customHeight="1">
      <c r="A444" s="22" t="s">
        <v>97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43272</v>
      </c>
      <c r="B445" s="22"/>
      <c r="C445" s="25">
        <f>ROUND(99.8870292131851,5)</f>
        <v>99.88703</v>
      </c>
      <c r="D445" s="25">
        <f>F445</f>
        <v>99.88703</v>
      </c>
      <c r="E445" s="25">
        <f>F445</f>
        <v>99.88703</v>
      </c>
      <c r="F445" s="25">
        <f>ROUND(99.8870292131851,5)</f>
        <v>99.88703</v>
      </c>
      <c r="G445" s="24"/>
      <c r="H445" s="36"/>
    </row>
    <row r="446" spans="1:8" ht="12.75" customHeight="1">
      <c r="A446" s="22" t="s">
        <v>98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43087</v>
      </c>
      <c r="B447" s="22"/>
      <c r="C447" s="25">
        <f>ROUND(99.5855675449196,5)</f>
        <v>99.58557</v>
      </c>
      <c r="D447" s="25">
        <f>F447</f>
        <v>99.84747</v>
      </c>
      <c r="E447" s="25">
        <f>F447</f>
        <v>99.84747</v>
      </c>
      <c r="F447" s="25">
        <f>ROUND(99.8474714574569,5)</f>
        <v>99.84747</v>
      </c>
      <c r="G447" s="24"/>
      <c r="H447" s="36"/>
    </row>
    <row r="448" spans="1:8" ht="12.75" customHeight="1">
      <c r="A448" s="22" t="s">
        <v>99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43175</v>
      </c>
      <c r="B449" s="22"/>
      <c r="C449" s="25">
        <f>ROUND(99.5855675449196,5)</f>
        <v>99.58557</v>
      </c>
      <c r="D449" s="25">
        <f>F449</f>
        <v>99.02999</v>
      </c>
      <c r="E449" s="25">
        <f>F449</f>
        <v>99.02999</v>
      </c>
      <c r="F449" s="25">
        <f>ROUND(99.0299887271362,5)</f>
        <v>99.02999</v>
      </c>
      <c r="G449" s="24"/>
      <c r="H449" s="36"/>
    </row>
    <row r="450" spans="1:8" ht="12.75" customHeight="1">
      <c r="A450" s="22" t="s">
        <v>100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43266</v>
      </c>
      <c r="B451" s="22"/>
      <c r="C451" s="25">
        <f>ROUND(99.5855675449196,5)</f>
        <v>99.58557</v>
      </c>
      <c r="D451" s="25">
        <f>F451</f>
        <v>98.57136</v>
      </c>
      <c r="E451" s="25">
        <f>F451</f>
        <v>98.57136</v>
      </c>
      <c r="F451" s="25">
        <f>ROUND(98.5713640853557,5)</f>
        <v>98.57136</v>
      </c>
      <c r="G451" s="24"/>
      <c r="H451" s="36"/>
    </row>
    <row r="452" spans="1:8" ht="12.75" customHeight="1">
      <c r="A452" s="22" t="s">
        <v>101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43364</v>
      </c>
      <c r="B453" s="22"/>
      <c r="C453" s="25">
        <f>ROUND(99.5855675449196,5)</f>
        <v>99.58557</v>
      </c>
      <c r="D453" s="25">
        <f>F453</f>
        <v>98.48462</v>
      </c>
      <c r="E453" s="25">
        <f>F453</f>
        <v>98.48462</v>
      </c>
      <c r="F453" s="25">
        <f>ROUND(98.4846220889905,5)</f>
        <v>98.48462</v>
      </c>
      <c r="G453" s="24"/>
      <c r="H453" s="36"/>
    </row>
    <row r="454" spans="1:8" ht="12.75" customHeight="1">
      <c r="A454" s="22" t="s">
        <v>102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43455</v>
      </c>
      <c r="B455" s="22"/>
      <c r="C455" s="24">
        <f>ROUND(99.5855675449196,2)</f>
        <v>99.59</v>
      </c>
      <c r="D455" s="24">
        <f>F455</f>
        <v>98.84</v>
      </c>
      <c r="E455" s="24">
        <f>F455</f>
        <v>98.84</v>
      </c>
      <c r="F455" s="24">
        <f>ROUND(98.8422228874222,2)</f>
        <v>98.84</v>
      </c>
      <c r="G455" s="24"/>
      <c r="H455" s="36"/>
    </row>
    <row r="456" spans="1:8" ht="12.75" customHeight="1">
      <c r="A456" s="22" t="s">
        <v>103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43539</v>
      </c>
      <c r="B457" s="22"/>
      <c r="C457" s="25">
        <f>ROUND(99.5855675449196,5)</f>
        <v>99.58557</v>
      </c>
      <c r="D457" s="25">
        <f>F457</f>
        <v>99.21299</v>
      </c>
      <c r="E457" s="25">
        <f>F457</f>
        <v>99.21299</v>
      </c>
      <c r="F457" s="25">
        <f>ROUND(99.2129922461835,5)</f>
        <v>99.21299</v>
      </c>
      <c r="G457" s="24"/>
      <c r="H457" s="36"/>
    </row>
    <row r="458" spans="1:8" ht="12.75" customHeight="1">
      <c r="A458" s="22" t="s">
        <v>104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43637</v>
      </c>
      <c r="B459" s="22"/>
      <c r="C459" s="25">
        <f>ROUND(99.5855675449196,5)</f>
        <v>99.58557</v>
      </c>
      <c r="D459" s="25">
        <f>F459</f>
        <v>99.58557</v>
      </c>
      <c r="E459" s="25">
        <f>F459</f>
        <v>99.58557</v>
      </c>
      <c r="F459" s="25">
        <f>ROUND(99.5855675449196,5)</f>
        <v>99.58557</v>
      </c>
      <c r="G459" s="24"/>
      <c r="H459" s="36"/>
    </row>
    <row r="460" spans="1:8" ht="12.75" customHeight="1">
      <c r="A460" s="22" t="s">
        <v>105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44182</v>
      </c>
      <c r="B461" s="22"/>
      <c r="C461" s="25">
        <f>ROUND(98.1674257180179,5)</f>
        <v>98.16743</v>
      </c>
      <c r="D461" s="25">
        <f>F461</f>
        <v>96.1578</v>
      </c>
      <c r="E461" s="25">
        <f>F461</f>
        <v>96.1578</v>
      </c>
      <c r="F461" s="25">
        <f>ROUND(96.1578043712014,5)</f>
        <v>96.1578</v>
      </c>
      <c r="G461" s="24"/>
      <c r="H461" s="36"/>
    </row>
    <row r="462" spans="1:8" ht="12.75" customHeight="1">
      <c r="A462" s="22" t="s">
        <v>106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44271</v>
      </c>
      <c r="B463" s="22"/>
      <c r="C463" s="25">
        <f>ROUND(98.1674257180179,5)</f>
        <v>98.16743</v>
      </c>
      <c r="D463" s="25">
        <f>F463</f>
        <v>95.37384</v>
      </c>
      <c r="E463" s="25">
        <f>F463</f>
        <v>95.37384</v>
      </c>
      <c r="F463" s="25">
        <f>ROUND(95.3738429612272,5)</f>
        <v>95.37384</v>
      </c>
      <c r="G463" s="24"/>
      <c r="H463" s="36"/>
    </row>
    <row r="464" spans="1:8" ht="12.75" customHeight="1">
      <c r="A464" s="22" t="s">
        <v>107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44362</v>
      </c>
      <c r="B465" s="22"/>
      <c r="C465" s="25">
        <f>ROUND(98.1674257180179,5)</f>
        <v>98.16743</v>
      </c>
      <c r="D465" s="25">
        <f>F465</f>
        <v>94.55904</v>
      </c>
      <c r="E465" s="25">
        <f>F465</f>
        <v>94.55904</v>
      </c>
      <c r="F465" s="25">
        <f>ROUND(94.5590397601276,5)</f>
        <v>94.55904</v>
      </c>
      <c r="G465" s="24"/>
      <c r="H465" s="36"/>
    </row>
    <row r="466" spans="1:8" ht="12.75" customHeight="1">
      <c r="A466" s="22" t="s">
        <v>108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44460</v>
      </c>
      <c r="B467" s="22"/>
      <c r="C467" s="25">
        <f>ROUND(98.1674257180179,5)</f>
        <v>98.16743</v>
      </c>
      <c r="D467" s="25">
        <f>F467</f>
        <v>94.71857</v>
      </c>
      <c r="E467" s="25">
        <f>F467</f>
        <v>94.71857</v>
      </c>
      <c r="F467" s="25">
        <f>ROUND(94.7185692949751,5)</f>
        <v>94.71857</v>
      </c>
      <c r="G467" s="24"/>
      <c r="H467" s="36"/>
    </row>
    <row r="468" spans="1:8" ht="12.75" customHeight="1">
      <c r="A468" s="22" t="s">
        <v>109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44551</v>
      </c>
      <c r="B469" s="22"/>
      <c r="C469" s="25">
        <f>ROUND(98.1674257180179,5)</f>
        <v>98.16743</v>
      </c>
      <c r="D469" s="25">
        <f>F469</f>
        <v>96.88419</v>
      </c>
      <c r="E469" s="25">
        <f>F469</f>
        <v>96.88419</v>
      </c>
      <c r="F469" s="25">
        <f>ROUND(96.88419090113,5)</f>
        <v>96.88419</v>
      </c>
      <c r="G469" s="24"/>
      <c r="H469" s="36"/>
    </row>
    <row r="470" spans="1:8" ht="12.75" customHeight="1">
      <c r="A470" s="22" t="s">
        <v>110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44635</v>
      </c>
      <c r="B471" s="22"/>
      <c r="C471" s="25">
        <f>ROUND(98.1674257180179,5)</f>
        <v>98.16743</v>
      </c>
      <c r="D471" s="25">
        <f>F471</f>
        <v>96.99367</v>
      </c>
      <c r="E471" s="25">
        <f>F471</f>
        <v>96.99367</v>
      </c>
      <c r="F471" s="25">
        <f>ROUND(96.9936701856575,5)</f>
        <v>96.99367</v>
      </c>
      <c r="G471" s="24"/>
      <c r="H471" s="36"/>
    </row>
    <row r="472" spans="1:8" ht="12.75" customHeight="1">
      <c r="A472" s="22" t="s">
        <v>111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44733</v>
      </c>
      <c r="B473" s="22"/>
      <c r="C473" s="25">
        <f>ROUND(98.1674257180179,5)</f>
        <v>98.16743</v>
      </c>
      <c r="D473" s="25">
        <f>F473</f>
        <v>98.16743</v>
      </c>
      <c r="E473" s="25">
        <f>F473</f>
        <v>98.16743</v>
      </c>
      <c r="F473" s="25">
        <f>ROUND(98.1674257180179,5)</f>
        <v>98.16743</v>
      </c>
      <c r="G473" s="24"/>
      <c r="H473" s="36"/>
    </row>
    <row r="474" spans="1:8" ht="12.75" customHeight="1">
      <c r="A474" s="22" t="s">
        <v>112</v>
      </c>
      <c r="B474" s="22"/>
      <c r="C474" s="23"/>
      <c r="D474" s="23"/>
      <c r="E474" s="23"/>
      <c r="F474" s="23"/>
      <c r="G474" s="24"/>
      <c r="H474" s="36"/>
    </row>
    <row r="475" spans="1:8" ht="12.75" customHeight="1">
      <c r="A475" s="22">
        <v>46008</v>
      </c>
      <c r="B475" s="22"/>
      <c r="C475" s="25">
        <f>ROUND(96.8417010797531,5)</f>
        <v>96.8417</v>
      </c>
      <c r="D475" s="25">
        <f>F475</f>
        <v>94.65544</v>
      </c>
      <c r="E475" s="25">
        <f>F475</f>
        <v>94.65544</v>
      </c>
      <c r="F475" s="25">
        <f>ROUND(94.6554423346098,5)</f>
        <v>94.65544</v>
      </c>
      <c r="G475" s="24"/>
      <c r="H475" s="36"/>
    </row>
    <row r="476" spans="1:8" ht="12.75" customHeight="1">
      <c r="A476" s="22" t="s">
        <v>113</v>
      </c>
      <c r="B476" s="22"/>
      <c r="C476" s="23"/>
      <c r="D476" s="23"/>
      <c r="E476" s="23"/>
      <c r="F476" s="23"/>
      <c r="G476" s="24"/>
      <c r="H476" s="36"/>
    </row>
    <row r="477" spans="1:8" ht="12.75" customHeight="1">
      <c r="A477" s="22">
        <v>46097</v>
      </c>
      <c r="B477" s="22"/>
      <c r="C477" s="25">
        <f>ROUND(96.8417010797531,5)</f>
        <v>96.8417</v>
      </c>
      <c r="D477" s="25">
        <f>F477</f>
        <v>91.63227</v>
      </c>
      <c r="E477" s="25">
        <f>F477</f>
        <v>91.63227</v>
      </c>
      <c r="F477" s="25">
        <f>ROUND(91.6322727058112,5)</f>
        <v>91.63227</v>
      </c>
      <c r="G477" s="24"/>
      <c r="H477" s="36"/>
    </row>
    <row r="478" spans="1:8" ht="12.75" customHeight="1">
      <c r="A478" s="22" t="s">
        <v>114</v>
      </c>
      <c r="B478" s="22"/>
      <c r="C478" s="23"/>
      <c r="D478" s="23"/>
      <c r="E478" s="23"/>
      <c r="F478" s="23"/>
      <c r="G478" s="24"/>
      <c r="H478" s="36"/>
    </row>
    <row r="479" spans="1:8" ht="12.75" customHeight="1">
      <c r="A479" s="22">
        <v>46188</v>
      </c>
      <c r="B479" s="22"/>
      <c r="C479" s="25">
        <f>ROUND(96.8417010797531,5)</f>
        <v>96.8417</v>
      </c>
      <c r="D479" s="25">
        <f>F479</f>
        <v>90.35238</v>
      </c>
      <c r="E479" s="25">
        <f>F479</f>
        <v>90.35238</v>
      </c>
      <c r="F479" s="25">
        <f>ROUND(90.3523803082748,5)</f>
        <v>90.35238</v>
      </c>
      <c r="G479" s="24"/>
      <c r="H479" s="36"/>
    </row>
    <row r="480" spans="1:8" ht="12.75" customHeight="1">
      <c r="A480" s="22" t="s">
        <v>115</v>
      </c>
      <c r="B480" s="22"/>
      <c r="C480" s="23"/>
      <c r="D480" s="23"/>
      <c r="E480" s="23"/>
      <c r="F480" s="23"/>
      <c r="G480" s="24"/>
      <c r="H480" s="36"/>
    </row>
    <row r="481" spans="1:8" ht="12.75" customHeight="1">
      <c r="A481" s="22">
        <v>46286</v>
      </c>
      <c r="B481" s="22"/>
      <c r="C481" s="25">
        <f>ROUND(96.8417010797531,5)</f>
        <v>96.8417</v>
      </c>
      <c r="D481" s="25">
        <f>F481</f>
        <v>92.48594</v>
      </c>
      <c r="E481" s="25">
        <f>F481</f>
        <v>92.48594</v>
      </c>
      <c r="F481" s="25">
        <f>ROUND(92.4859403877036,5)</f>
        <v>92.48594</v>
      </c>
      <c r="G481" s="24"/>
      <c r="H481" s="36"/>
    </row>
    <row r="482" spans="1:8" ht="12.75" customHeight="1">
      <c r="A482" s="22" t="s">
        <v>116</v>
      </c>
      <c r="B482" s="22"/>
      <c r="C482" s="23"/>
      <c r="D482" s="23"/>
      <c r="E482" s="23"/>
      <c r="F482" s="23"/>
      <c r="G482" s="24"/>
      <c r="H482" s="36"/>
    </row>
    <row r="483" spans="1:8" ht="12.75" customHeight="1">
      <c r="A483" s="22">
        <v>46377</v>
      </c>
      <c r="B483" s="22"/>
      <c r="C483" s="25">
        <f>ROUND(96.8417010797531,5)</f>
        <v>96.8417</v>
      </c>
      <c r="D483" s="25">
        <f>F483</f>
        <v>96.23952</v>
      </c>
      <c r="E483" s="25">
        <f>F483</f>
        <v>96.23952</v>
      </c>
      <c r="F483" s="25">
        <f>ROUND(96.2395151110707,5)</f>
        <v>96.23952</v>
      </c>
      <c r="G483" s="24"/>
      <c r="H483" s="36"/>
    </row>
    <row r="484" spans="1:8" ht="12.75" customHeight="1">
      <c r="A484" s="22" t="s">
        <v>117</v>
      </c>
      <c r="B484" s="22"/>
      <c r="C484" s="23"/>
      <c r="D484" s="23"/>
      <c r="E484" s="23"/>
      <c r="F484" s="23"/>
      <c r="G484" s="24"/>
      <c r="H484" s="36"/>
    </row>
    <row r="485" spans="1:8" ht="12.75" customHeight="1">
      <c r="A485" s="22">
        <v>46461</v>
      </c>
      <c r="B485" s="22"/>
      <c r="C485" s="25">
        <f>ROUND(96.8417010797531,5)</f>
        <v>96.8417</v>
      </c>
      <c r="D485" s="25">
        <f>F485</f>
        <v>94.79212</v>
      </c>
      <c r="E485" s="25">
        <f>F485</f>
        <v>94.79212</v>
      </c>
      <c r="F485" s="25">
        <f>ROUND(94.7921244808364,5)</f>
        <v>94.79212</v>
      </c>
      <c r="G485" s="24"/>
      <c r="H485" s="36"/>
    </row>
    <row r="486" spans="1:8" ht="12.75" customHeight="1">
      <c r="A486" s="22" t="s">
        <v>118</v>
      </c>
      <c r="B486" s="22"/>
      <c r="C486" s="23"/>
      <c r="D486" s="23"/>
      <c r="E486" s="23"/>
      <c r="F486" s="23"/>
      <c r="G486" s="24"/>
      <c r="H486" s="36"/>
    </row>
    <row r="487" spans="1:8" ht="12.75" customHeight="1" thickBot="1">
      <c r="A487" s="32">
        <v>46559</v>
      </c>
      <c r="B487" s="32"/>
      <c r="C487" s="33">
        <f>ROUND(96.8417010797531,5)</f>
        <v>96.8417</v>
      </c>
      <c r="D487" s="33">
        <f>F487</f>
        <v>96.8417</v>
      </c>
      <c r="E487" s="33">
        <f>F487</f>
        <v>96.8417</v>
      </c>
      <c r="F487" s="33">
        <f>ROUND(96.8417010797531,5)</f>
        <v>96.8417</v>
      </c>
      <c r="G487" s="34"/>
      <c r="H487" s="37"/>
    </row>
  </sheetData>
  <sheetProtection/>
  <mergeCells count="486">
    <mergeCell ref="A484:B484"/>
    <mergeCell ref="A485:B485"/>
    <mergeCell ref="A486:B486"/>
    <mergeCell ref="A487:B487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Yolande Faver</cp:lastModifiedBy>
  <cp:lastPrinted>2008-12-04T15:24:37Z</cp:lastPrinted>
  <dcterms:created xsi:type="dcterms:W3CDTF">1997-08-29T10:04:45Z</dcterms:created>
  <dcterms:modified xsi:type="dcterms:W3CDTF">2017-06-09T15:50:38Z</dcterms:modified>
  <cp:category/>
  <cp:version/>
  <cp:contentType/>
  <cp:contentStatus/>
</cp:coreProperties>
</file>