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'Jerry'!$A$1:$H$512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<sst xmlns="http://schemas.openxmlformats.org/spreadsheetml/2006/main" count="123" uniqueCount="123">
  <si>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</si>
  <si>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</si>
  <si>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</si>
  <si>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</si>
  <si>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</si>
  <si>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</si>
  <si>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</si>
  <si>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</si>
  <si>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</si>
  <si>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</si>
  <si>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</si>
  <si>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</si>
  <si>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</si>
  <si>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</si>
  <si>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</si>
  <si>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</si>
  <si>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</si>
  <si>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</si>
  <si>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</si>
  <si>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</si>
  <si>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</si>
  <si>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</si>
  <si>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</si>
  <si>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</si>
  <si>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</si>
  <si>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</si>
  <si>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</si>
  <si>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</si>
  <si>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</si>
  <si>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</si>
  <si>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</si>
  <si>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</si>
  <si>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</si>
  <si>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</si>
  <si>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</si>
  <si>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</si>
  <si>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</si>
  <si>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</si>
  <si>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</si>
  <si>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</si>
  <si>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</si>
  <si>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</si>
  <si>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</si>
  <si>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</si>
  <si>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</si>
  <si>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</si>
  <si>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</si>
  <si>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</si>
  <si>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</si>
  <si>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</si>
  <si>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</si>
  <si>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</si>
  <si>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</si>
  <si>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</si>
  <si>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</si>
  <si>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</si>
  <si>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</si>
  <si>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</si>
  <si>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</si>
  <si>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</si>
  <si>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</si>
  <si>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DANZ NZD (DANZ)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</si>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</sst>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zoomScaleSheetLayoutView="75" zoomScalePageLayoutView="0" workbookViewId="0" topLeftCell="A1">
      <selection activeCell="P14" sqref="P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42949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ROUND(2.51,5)</f>
        <v>2.51</v>
      </c>
      <c r="D6" s="24">
        <f>F6</f>
        <v>2.51</v>
      </c>
      <c r="E6" s="24">
        <f>F6</f>
        <v>2.51</v>
      </c>
      <c r="F6" s="24">
        <f>ROUND(2.51,5)</f>
        <v>2.51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ROUND(2.45,5)</f>
        <v>2.45</v>
      </c>
      <c r="D8" s="24">
        <f>F8</f>
        <v>2.45</v>
      </c>
      <c r="E8" s="24">
        <f>F8</f>
        <v>2.45</v>
      </c>
      <c r="F8" s="24">
        <f>ROUND(2.45,5)</f>
        <v>2.45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ROUND(2.525,5)</f>
        <v>2.525</v>
      </c>
      <c r="D10" s="24">
        <f>F10</f>
        <v>2.525</v>
      </c>
      <c r="E10" s="24">
        <f>F10</f>
        <v>2.525</v>
      </c>
      <c r="F10" s="24">
        <f>ROUND(2.525,5)</f>
        <v>2.525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ROUND(10.795,5)</f>
        <v>10.795</v>
      </c>
      <c r="D14" s="24">
        <f>F14</f>
        <v>10.795</v>
      </c>
      <c r="E14" s="24">
        <f>F14</f>
        <v>10.795</v>
      </c>
      <c r="F14" s="24">
        <f>ROUND(10.795,5)</f>
        <v>10.795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ROUND(7.95,5)</f>
        <v>7.95</v>
      </c>
      <c r="D16" s="24">
        <f>F16</f>
        <v>7.95</v>
      </c>
      <c r="E16" s="24">
        <f>F16</f>
        <v>7.95</v>
      </c>
      <c r="F16" s="24">
        <f>ROUND(7.95,5)</f>
        <v>7.95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ROUND(8.6,3)</f>
        <v>8.6</v>
      </c>
      <c r="D18" s="29">
        <f>F18</f>
        <v>8.6</v>
      </c>
      <c r="E18" s="29">
        <f>F18</f>
        <v>8.6</v>
      </c>
      <c r="F18" s="29">
        <f>ROUND(8.6,3)</f>
        <v>8.6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ROUND(2.47,3)</f>
        <v>2.47</v>
      </c>
      <c r="D20" s="29">
        <f>F20</f>
        <v>2.47</v>
      </c>
      <c r="E20" s="29">
        <f>F20</f>
        <v>2.47</v>
      </c>
      <c r="F20" s="29">
        <f>ROUND(2.47,3)</f>
        <v>2.47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ROUND(2.56,3)</f>
        <v>2.56</v>
      </c>
      <c r="D22" s="29">
        <f>F22</f>
        <v>2.56</v>
      </c>
      <c r="E22" s="29">
        <f>F22</f>
        <v>2.56</v>
      </c>
      <c r="F22" s="29">
        <f>ROUND(2.56,3)</f>
        <v>2.56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ROUND(7,3)</f>
        <v>7</v>
      </c>
      <c r="D24" s="29">
        <f>F24</f>
        <v>7</v>
      </c>
      <c r="E24" s="29">
        <f>F24</f>
        <v>7</v>
      </c>
      <c r="F24" s="29">
        <f>ROUND(7,3)</f>
        <v>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ROUND(7.105,3)</f>
        <v>7.105</v>
      </c>
      <c r="D26" s="29">
        <f>F26</f>
        <v>7.105</v>
      </c>
      <c r="E26" s="29">
        <f>F26</f>
        <v>7.105</v>
      </c>
      <c r="F26" s="29">
        <f>ROUND(7.105,3)</f>
        <v>7.105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ROUND(7.37,3)</f>
        <v>7.37</v>
      </c>
      <c r="D28" s="29">
        <f>F28</f>
        <v>7.37</v>
      </c>
      <c r="E28" s="29">
        <f>F28</f>
        <v>7.37</v>
      </c>
      <c r="F28" s="29">
        <f>ROUND(7.37,3)</f>
        <v>7.37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ROUND(7.525,3)</f>
        <v>7.525</v>
      </c>
      <c r="D30" s="29">
        <f>F30</f>
        <v>7.525</v>
      </c>
      <c r="E30" s="29">
        <f>F30</f>
        <v>7.525</v>
      </c>
      <c r="F30" s="29">
        <f>ROUND(7.525,3)</f>
        <v>7.525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ROUND(9.585,3)</f>
        <v>9.585</v>
      </c>
      <c r="D32" s="29">
        <f>F32</f>
        <v>9.585</v>
      </c>
      <c r="E32" s="29">
        <f>F32</f>
        <v>9.585</v>
      </c>
      <c r="F32" s="29">
        <f>ROUND(9.585,3)</f>
        <v>9.585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ROUND(2.455,3)</f>
        <v>2.455</v>
      </c>
      <c r="D36" s="29">
        <f>F36</f>
        <v>2.455</v>
      </c>
      <c r="E36" s="29">
        <f>F36</f>
        <v>2.455</v>
      </c>
      <c r="F36" s="29">
        <f>ROUND(2.455,3)</f>
        <v>2.455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ROUND(9.24,3)</f>
        <v>9.24</v>
      </c>
      <c r="D38" s="29">
        <f>F38</f>
        <v>9.24</v>
      </c>
      <c r="E38" s="29">
        <f>F38</f>
        <v>9.24</v>
      </c>
      <c r="F38" s="29">
        <f>ROUND(9.24,3)</f>
        <v>9.24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ROUND(2.51,5)</f>
        <v>2.51</v>
      </c>
      <c r="D40" s="24">
        <f>F40</f>
        <v>127.49586</v>
      </c>
      <c r="E40" s="24">
        <f>F40</f>
        <v>127.49586</v>
      </c>
      <c r="F40" s="24">
        <f>ROUND(127.49586,5)</f>
        <v>127.49586</v>
      </c>
      <c r="G40" s="25"/>
      <c r="H40" s="26"/>
    </row>
    <row r="41" spans="1:8" ht="12.75" customHeight="1">
      <c r="A41" s="23">
        <v>43041</v>
      </c>
      <c r="B41" s="23"/>
      <c r="C41" s="24">
        <f>ROUND(2.51,5)</f>
        <v>2.51</v>
      </c>
      <c r="D41" s="24">
        <f>F41</f>
        <v>129.89</v>
      </c>
      <c r="E41" s="24">
        <f>F41</f>
        <v>129.89</v>
      </c>
      <c r="F41" s="24">
        <f>ROUND(129.89,5)</f>
        <v>129.89</v>
      </c>
      <c r="G41" s="25"/>
      <c r="H41" s="26"/>
    </row>
    <row r="42" spans="1:8" ht="12.75" customHeight="1">
      <c r="A42" s="23">
        <v>43132</v>
      </c>
      <c r="B42" s="23"/>
      <c r="C42" s="24">
        <f>ROUND(2.51,5)</f>
        <v>2.51</v>
      </c>
      <c r="D42" s="24">
        <f>F42</f>
        <v>131.00394</v>
      </c>
      <c r="E42" s="24">
        <f>F42</f>
        <v>131.00394</v>
      </c>
      <c r="F42" s="24">
        <f>ROUND(131.00394,5)</f>
        <v>131.00394</v>
      </c>
      <c r="G42" s="25"/>
      <c r="H42" s="26"/>
    </row>
    <row r="43" spans="1:8" ht="12.75" customHeight="1">
      <c r="A43" s="23">
        <v>43223</v>
      </c>
      <c r="B43" s="23"/>
      <c r="C43" s="24">
        <f>ROUND(2.51,5)</f>
        <v>2.51</v>
      </c>
      <c r="D43" s="24">
        <f>F43</f>
        <v>133.5371</v>
      </c>
      <c r="E43" s="24">
        <f>F43</f>
        <v>133.5371</v>
      </c>
      <c r="F43" s="24">
        <f>ROUND(133.5371,5)</f>
        <v>133.5371</v>
      </c>
      <c r="G43" s="25"/>
      <c r="H43" s="26"/>
    </row>
    <row r="44" spans="1:8" ht="12.75" customHeight="1">
      <c r="A44" s="23">
        <v>43314</v>
      </c>
      <c r="B44" s="23"/>
      <c r="C44" s="24">
        <f>ROUND(2.51,5)</f>
        <v>2.51</v>
      </c>
      <c r="D44" s="24">
        <f>F44</f>
        <v>136.07216</v>
      </c>
      <c r="E44" s="24">
        <f>F44</f>
        <v>136.07216</v>
      </c>
      <c r="F44" s="24">
        <f>ROUND(136.07216,5)</f>
        <v>136.07216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ROUND(99.41826,5)</f>
        <v>99.41826</v>
      </c>
      <c r="D46" s="24">
        <f>F46</f>
        <v>99.43793</v>
      </c>
      <c r="E46" s="24">
        <f>F46</f>
        <v>99.43793</v>
      </c>
      <c r="F46" s="24">
        <f>ROUND(99.43793,5)</f>
        <v>99.43793</v>
      </c>
      <c r="G46" s="25"/>
      <c r="H46" s="26"/>
    </row>
    <row r="47" spans="1:8" ht="12.75" customHeight="1">
      <c r="A47" s="23">
        <v>43041</v>
      </c>
      <c r="B47" s="23"/>
      <c r="C47" s="24">
        <f>ROUND(99.41826,5)</f>
        <v>99.41826</v>
      </c>
      <c r="D47" s="24">
        <f>F47</f>
        <v>100.30358</v>
      </c>
      <c r="E47" s="24">
        <f>F47</f>
        <v>100.30358</v>
      </c>
      <c r="F47" s="24">
        <f>ROUND(100.30358,5)</f>
        <v>100.30358</v>
      </c>
      <c r="G47" s="25"/>
      <c r="H47" s="26"/>
    </row>
    <row r="48" spans="1:8" ht="12.75" customHeight="1">
      <c r="A48" s="23">
        <v>43132</v>
      </c>
      <c r="B48" s="23"/>
      <c r="C48" s="24">
        <f>ROUND(99.41826,5)</f>
        <v>99.41826</v>
      </c>
      <c r="D48" s="24">
        <f>F48</f>
        <v>102.20774</v>
      </c>
      <c r="E48" s="24">
        <f>F48</f>
        <v>102.20774</v>
      </c>
      <c r="F48" s="24">
        <f>ROUND(102.20774,5)</f>
        <v>102.20774</v>
      </c>
      <c r="G48" s="25"/>
      <c r="H48" s="26"/>
    </row>
    <row r="49" spans="1:8" ht="12.75" customHeight="1">
      <c r="A49" s="23">
        <v>43223</v>
      </c>
      <c r="B49" s="23"/>
      <c r="C49" s="24">
        <f>ROUND(99.41826,5)</f>
        <v>99.41826</v>
      </c>
      <c r="D49" s="24">
        <f>F49</f>
        <v>103.15613</v>
      </c>
      <c r="E49" s="24">
        <f>F49</f>
        <v>103.15613</v>
      </c>
      <c r="F49" s="24">
        <f>ROUND(103.15613,5)</f>
        <v>103.15613</v>
      </c>
      <c r="G49" s="25"/>
      <c r="H49" s="26"/>
    </row>
    <row r="50" spans="1:8" ht="12.75" customHeight="1">
      <c r="A50" s="23">
        <v>43314</v>
      </c>
      <c r="B50" s="23"/>
      <c r="C50" s="24">
        <f>ROUND(99.41826,5)</f>
        <v>99.41826</v>
      </c>
      <c r="D50" s="24">
        <f>F50</f>
        <v>105.11421</v>
      </c>
      <c r="E50" s="24">
        <f>F50</f>
        <v>105.11421</v>
      </c>
      <c r="F50" s="24">
        <f>ROUND(105.11421,5)</f>
        <v>105.11421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ROUND(9.15,5)</f>
        <v>9.15</v>
      </c>
      <c r="D52" s="24">
        <f>F52</f>
        <v>9.15061</v>
      </c>
      <c r="E52" s="24">
        <f>F52</f>
        <v>9.15061</v>
      </c>
      <c r="F52" s="24">
        <f>ROUND(9.15061,5)</f>
        <v>9.15061</v>
      </c>
      <c r="G52" s="25"/>
      <c r="H52" s="26"/>
    </row>
    <row r="53" spans="1:8" ht="12.75" customHeight="1">
      <c r="A53" s="23">
        <v>43041</v>
      </c>
      <c r="B53" s="23"/>
      <c r="C53" s="24">
        <f>ROUND(9.15,5)</f>
        <v>9.15</v>
      </c>
      <c r="D53" s="24">
        <f>F53</f>
        <v>9.20392</v>
      </c>
      <c r="E53" s="24">
        <f>F53</f>
        <v>9.20392</v>
      </c>
      <c r="F53" s="24">
        <f>ROUND(9.20392,5)</f>
        <v>9.20392</v>
      </c>
      <c r="G53" s="25"/>
      <c r="H53" s="26"/>
    </row>
    <row r="54" spans="1:8" ht="12.75" customHeight="1">
      <c r="A54" s="23">
        <v>43132</v>
      </c>
      <c r="B54" s="23"/>
      <c r="C54" s="24">
        <f>ROUND(9.15,5)</f>
        <v>9.15</v>
      </c>
      <c r="D54" s="24">
        <f>F54</f>
        <v>9.25892</v>
      </c>
      <c r="E54" s="24">
        <f>F54</f>
        <v>9.25892</v>
      </c>
      <c r="F54" s="24">
        <f>ROUND(9.25892,5)</f>
        <v>9.25892</v>
      </c>
      <c r="G54" s="25"/>
      <c r="H54" s="26"/>
    </row>
    <row r="55" spans="1:8" ht="12.75" customHeight="1">
      <c r="A55" s="23">
        <v>43223</v>
      </c>
      <c r="B55" s="23"/>
      <c r="C55" s="24">
        <f>ROUND(9.15,5)</f>
        <v>9.15</v>
      </c>
      <c r="D55" s="24">
        <f>F55</f>
        <v>9.31694</v>
      </c>
      <c r="E55" s="24">
        <f>F55</f>
        <v>9.31694</v>
      </c>
      <c r="F55" s="24">
        <f>ROUND(9.31694,5)</f>
        <v>9.31694</v>
      </c>
      <c r="G55" s="25"/>
      <c r="H55" s="26"/>
    </row>
    <row r="56" spans="1:8" ht="12.75" customHeight="1">
      <c r="A56" s="23">
        <v>43314</v>
      </c>
      <c r="B56" s="23"/>
      <c r="C56" s="24">
        <f>ROUND(9.15,5)</f>
        <v>9.15</v>
      </c>
      <c r="D56" s="24">
        <f>F56</f>
        <v>9.37196</v>
      </c>
      <c r="E56" s="24">
        <f>F56</f>
        <v>9.37196</v>
      </c>
      <c r="F56" s="24">
        <f>ROUND(9.37196,5)</f>
        <v>9.37196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ROUND(9.36,5)</f>
        <v>9.36</v>
      </c>
      <c r="D58" s="24">
        <f>F58</f>
        <v>9.36068</v>
      </c>
      <c r="E58" s="24">
        <f>F58</f>
        <v>9.36068</v>
      </c>
      <c r="F58" s="24">
        <f>ROUND(9.36068,5)</f>
        <v>9.36068</v>
      </c>
      <c r="G58" s="25"/>
      <c r="H58" s="26"/>
    </row>
    <row r="59" spans="1:8" ht="12.75" customHeight="1">
      <c r="A59" s="23">
        <v>43041</v>
      </c>
      <c r="B59" s="23"/>
      <c r="C59" s="24">
        <f>ROUND(9.36,5)</f>
        <v>9.36</v>
      </c>
      <c r="D59" s="24">
        <f>F59</f>
        <v>9.41963</v>
      </c>
      <c r="E59" s="24">
        <f>F59</f>
        <v>9.41963</v>
      </c>
      <c r="F59" s="24">
        <f>ROUND(9.41963,5)</f>
        <v>9.41963</v>
      </c>
      <c r="G59" s="25"/>
      <c r="H59" s="26"/>
    </row>
    <row r="60" spans="1:8" ht="12.75" customHeight="1">
      <c r="A60" s="23">
        <v>43132</v>
      </c>
      <c r="B60" s="23"/>
      <c r="C60" s="24">
        <f>ROUND(9.36,5)</f>
        <v>9.36</v>
      </c>
      <c r="D60" s="24">
        <f>F60</f>
        <v>9.4798</v>
      </c>
      <c r="E60" s="24">
        <f>F60</f>
        <v>9.4798</v>
      </c>
      <c r="F60" s="24">
        <f>ROUND(9.4798,5)</f>
        <v>9.4798</v>
      </c>
      <c r="G60" s="25"/>
      <c r="H60" s="26"/>
    </row>
    <row r="61" spans="1:8" ht="12.75" customHeight="1">
      <c r="A61" s="23">
        <v>43223</v>
      </c>
      <c r="B61" s="23"/>
      <c r="C61" s="24">
        <f>ROUND(9.36,5)</f>
        <v>9.36</v>
      </c>
      <c r="D61" s="24">
        <f>F61</f>
        <v>9.53887</v>
      </c>
      <c r="E61" s="24">
        <f>F61</f>
        <v>9.53887</v>
      </c>
      <c r="F61" s="24">
        <f>ROUND(9.53887,5)</f>
        <v>9.53887</v>
      </c>
      <c r="G61" s="25"/>
      <c r="H61" s="26"/>
    </row>
    <row r="62" spans="1:8" ht="12.75" customHeight="1">
      <c r="A62" s="23">
        <v>43314</v>
      </c>
      <c r="B62" s="23"/>
      <c r="C62" s="24">
        <f>ROUND(9.36,5)</f>
        <v>9.36</v>
      </c>
      <c r="D62" s="24">
        <f>F62</f>
        <v>9.59321</v>
      </c>
      <c r="E62" s="24">
        <f>F62</f>
        <v>9.59321</v>
      </c>
      <c r="F62" s="24">
        <f>ROUND(9.59321,5)</f>
        <v>9.59321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ROUND(104.00027,5)</f>
        <v>104.00027</v>
      </c>
      <c r="D64" s="24">
        <f>F64</f>
        <v>104.0209</v>
      </c>
      <c r="E64" s="24">
        <f>F64</f>
        <v>104.0209</v>
      </c>
      <c r="F64" s="24">
        <f>ROUND(104.0209,5)</f>
        <v>104.0209</v>
      </c>
      <c r="G64" s="25"/>
      <c r="H64" s="26"/>
    </row>
    <row r="65" spans="1:8" ht="12.75" customHeight="1">
      <c r="A65" s="23">
        <v>43041</v>
      </c>
      <c r="B65" s="23"/>
      <c r="C65" s="24">
        <f>ROUND(104.00027,5)</f>
        <v>104.00027</v>
      </c>
      <c r="D65" s="24">
        <f>F65</f>
        <v>104.90204</v>
      </c>
      <c r="E65" s="24">
        <f>F65</f>
        <v>104.90204</v>
      </c>
      <c r="F65" s="24">
        <f>ROUND(104.90204,5)</f>
        <v>104.90204</v>
      </c>
      <c r="G65" s="25"/>
      <c r="H65" s="26"/>
    </row>
    <row r="66" spans="1:8" ht="12.75" customHeight="1">
      <c r="A66" s="23">
        <v>43132</v>
      </c>
      <c r="B66" s="23"/>
      <c r="C66" s="24">
        <f>ROUND(104.00027,5)</f>
        <v>104.00027</v>
      </c>
      <c r="D66" s="24">
        <f>F66</f>
        <v>106.8936</v>
      </c>
      <c r="E66" s="24">
        <f>F66</f>
        <v>106.8936</v>
      </c>
      <c r="F66" s="24">
        <f>ROUND(106.8936,5)</f>
        <v>106.8936</v>
      </c>
      <c r="G66" s="25"/>
      <c r="H66" s="26"/>
    </row>
    <row r="67" spans="1:8" ht="12.75" customHeight="1">
      <c r="A67" s="23">
        <v>43223</v>
      </c>
      <c r="B67" s="23"/>
      <c r="C67" s="24">
        <f>ROUND(104.00027,5)</f>
        <v>104.00027</v>
      </c>
      <c r="D67" s="24">
        <f>F67</f>
        <v>107.86201</v>
      </c>
      <c r="E67" s="24">
        <f>F67</f>
        <v>107.86201</v>
      </c>
      <c r="F67" s="24">
        <f>ROUND(107.86201,5)</f>
        <v>107.86201</v>
      </c>
      <c r="G67" s="25"/>
      <c r="H67" s="26"/>
    </row>
    <row r="68" spans="1:8" ht="12.75" customHeight="1">
      <c r="A68" s="23">
        <v>43314</v>
      </c>
      <c r="B68" s="23"/>
      <c r="C68" s="24">
        <f>ROUND(104.00027,5)</f>
        <v>104.00027</v>
      </c>
      <c r="D68" s="24">
        <f>F68</f>
        <v>109.90954</v>
      </c>
      <c r="E68" s="24">
        <f>F68</f>
        <v>109.90954</v>
      </c>
      <c r="F68" s="24">
        <f>ROUND(109.90954,5)</f>
        <v>109.90954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ROUND(9.7,5)</f>
        <v>9.7</v>
      </c>
      <c r="D70" s="24">
        <f>F70</f>
        <v>9.70068</v>
      </c>
      <c r="E70" s="24">
        <f>F70</f>
        <v>9.70068</v>
      </c>
      <c r="F70" s="24">
        <f>ROUND(9.70068,5)</f>
        <v>9.70068</v>
      </c>
      <c r="G70" s="25"/>
      <c r="H70" s="26"/>
    </row>
    <row r="71" spans="1:8" ht="12.75" customHeight="1">
      <c r="A71" s="23">
        <v>43041</v>
      </c>
      <c r="B71" s="23"/>
      <c r="C71" s="24">
        <f>ROUND(9.7,5)</f>
        <v>9.7</v>
      </c>
      <c r="D71" s="24">
        <f>F71</f>
        <v>9.76083</v>
      </c>
      <c r="E71" s="24">
        <f>F71</f>
        <v>9.76083</v>
      </c>
      <c r="F71" s="24">
        <f>ROUND(9.76083,5)</f>
        <v>9.76083</v>
      </c>
      <c r="G71" s="25"/>
      <c r="H71" s="26"/>
    </row>
    <row r="72" spans="1:8" ht="12.75" customHeight="1">
      <c r="A72" s="23">
        <v>43132</v>
      </c>
      <c r="B72" s="23"/>
      <c r="C72" s="24">
        <f>ROUND(9.7,5)</f>
        <v>9.7</v>
      </c>
      <c r="D72" s="24">
        <f>F72</f>
        <v>9.82287</v>
      </c>
      <c r="E72" s="24">
        <f>F72</f>
        <v>9.82287</v>
      </c>
      <c r="F72" s="24">
        <f>ROUND(9.82287,5)</f>
        <v>9.82287</v>
      </c>
      <c r="G72" s="25"/>
      <c r="H72" s="26"/>
    </row>
    <row r="73" spans="1:8" ht="12.75" customHeight="1">
      <c r="A73" s="23">
        <v>43223</v>
      </c>
      <c r="B73" s="23"/>
      <c r="C73" s="24">
        <f>ROUND(9.7,5)</f>
        <v>9.7</v>
      </c>
      <c r="D73" s="24">
        <f>F73</f>
        <v>9.88733</v>
      </c>
      <c r="E73" s="24">
        <f>F73</f>
        <v>9.88733</v>
      </c>
      <c r="F73" s="24">
        <f>ROUND(9.88733,5)</f>
        <v>9.88733</v>
      </c>
      <c r="G73" s="25"/>
      <c r="H73" s="26"/>
    </row>
    <row r="74" spans="1:8" ht="12.75" customHeight="1">
      <c r="A74" s="23">
        <v>43314</v>
      </c>
      <c r="B74" s="23"/>
      <c r="C74" s="24">
        <f>ROUND(9.7,5)</f>
        <v>9.7</v>
      </c>
      <c r="D74" s="24">
        <f>F74</f>
        <v>9.94969</v>
      </c>
      <c r="E74" s="24">
        <f>F74</f>
        <v>9.94969</v>
      </c>
      <c r="F74" s="24">
        <f>ROUND(9.94969,5)</f>
        <v>9.94969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ROUND(2.45,5)</f>
        <v>2.45</v>
      </c>
      <c r="D76" s="24">
        <f>F76</f>
        <v>127.83621</v>
      </c>
      <c r="E76" s="24">
        <f>F76</f>
        <v>127.83621</v>
      </c>
      <c r="F76" s="24">
        <f>ROUND(127.83621,5)</f>
        <v>127.83621</v>
      </c>
      <c r="G76" s="25"/>
      <c r="H76" s="26"/>
    </row>
    <row r="77" spans="1:8" ht="12.75" customHeight="1">
      <c r="A77" s="23">
        <v>43041</v>
      </c>
      <c r="B77" s="23"/>
      <c r="C77" s="24">
        <f>ROUND(2.45,5)</f>
        <v>2.45</v>
      </c>
      <c r="D77" s="24">
        <f>F77</f>
        <v>130.2366</v>
      </c>
      <c r="E77" s="24">
        <f>F77</f>
        <v>130.2366</v>
      </c>
      <c r="F77" s="24">
        <f>ROUND(130.2366,5)</f>
        <v>130.2366</v>
      </c>
      <c r="G77" s="25"/>
      <c r="H77" s="26"/>
    </row>
    <row r="78" spans="1:8" ht="12.75" customHeight="1">
      <c r="A78" s="23">
        <v>43132</v>
      </c>
      <c r="B78" s="23"/>
      <c r="C78" s="24">
        <f>ROUND(2.45,5)</f>
        <v>2.45</v>
      </c>
      <c r="D78" s="24">
        <f>F78</f>
        <v>131.18818</v>
      </c>
      <c r="E78" s="24">
        <f>F78</f>
        <v>131.18818</v>
      </c>
      <c r="F78" s="24">
        <f>ROUND(131.18818,5)</f>
        <v>131.18818</v>
      </c>
      <c r="G78" s="25"/>
      <c r="H78" s="26"/>
    </row>
    <row r="79" spans="1:8" ht="12.75" customHeight="1">
      <c r="A79" s="23">
        <v>43223</v>
      </c>
      <c r="B79" s="23"/>
      <c r="C79" s="24">
        <f>ROUND(2.45,5)</f>
        <v>2.45</v>
      </c>
      <c r="D79" s="24">
        <f>F79</f>
        <v>133.72498</v>
      </c>
      <c r="E79" s="24">
        <f>F79</f>
        <v>133.72498</v>
      </c>
      <c r="F79" s="24">
        <f>ROUND(133.72498,5)</f>
        <v>133.72498</v>
      </c>
      <c r="G79" s="25"/>
      <c r="H79" s="26"/>
    </row>
    <row r="80" spans="1:8" ht="12.75" customHeight="1">
      <c r="A80" s="23">
        <v>43314</v>
      </c>
      <c r="B80" s="23"/>
      <c r="C80" s="24">
        <f>ROUND(2.45,5)</f>
        <v>2.45</v>
      </c>
      <c r="D80" s="24">
        <f>F80</f>
        <v>136.26354</v>
      </c>
      <c r="E80" s="24">
        <f>F80</f>
        <v>136.26354</v>
      </c>
      <c r="F80" s="24">
        <f>ROUND(136.26354,5)</f>
        <v>136.26354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ROUND(9.86,5)</f>
        <v>9.86</v>
      </c>
      <c r="D82" s="24">
        <f>F82</f>
        <v>9.86071</v>
      </c>
      <c r="E82" s="24">
        <f>F82</f>
        <v>9.86071</v>
      </c>
      <c r="F82" s="24">
        <f>ROUND(9.86071,5)</f>
        <v>9.86071</v>
      </c>
      <c r="G82" s="25"/>
      <c r="H82" s="26"/>
    </row>
    <row r="83" spans="1:8" ht="12.75" customHeight="1">
      <c r="A83" s="23">
        <v>43041</v>
      </c>
      <c r="B83" s="23"/>
      <c r="C83" s="24">
        <f>ROUND(9.86,5)</f>
        <v>9.86</v>
      </c>
      <c r="D83" s="24">
        <f>F83</f>
        <v>9.92369</v>
      </c>
      <c r="E83" s="24">
        <f>F83</f>
        <v>9.92369</v>
      </c>
      <c r="F83" s="24">
        <f>ROUND(9.92369,5)</f>
        <v>9.92369</v>
      </c>
      <c r="G83" s="25"/>
      <c r="H83" s="26"/>
    </row>
    <row r="84" spans="1:8" ht="12.75" customHeight="1">
      <c r="A84" s="23">
        <v>43132</v>
      </c>
      <c r="B84" s="23"/>
      <c r="C84" s="24">
        <f>ROUND(9.86,5)</f>
        <v>9.86</v>
      </c>
      <c r="D84" s="24">
        <f>F84</f>
        <v>9.98871</v>
      </c>
      <c r="E84" s="24">
        <f>F84</f>
        <v>9.98871</v>
      </c>
      <c r="F84" s="24">
        <f>ROUND(9.98871,5)</f>
        <v>9.98871</v>
      </c>
      <c r="G84" s="25"/>
      <c r="H84" s="26"/>
    </row>
    <row r="85" spans="1:8" ht="12.75" customHeight="1">
      <c r="A85" s="23">
        <v>43223</v>
      </c>
      <c r="B85" s="23"/>
      <c r="C85" s="24">
        <f>ROUND(9.86,5)</f>
        <v>9.86</v>
      </c>
      <c r="D85" s="24">
        <f>F85</f>
        <v>10.0561</v>
      </c>
      <c r="E85" s="24">
        <f>F85</f>
        <v>10.0561</v>
      </c>
      <c r="F85" s="24">
        <f>ROUND(10.0561,5)</f>
        <v>10.0561</v>
      </c>
      <c r="G85" s="25"/>
      <c r="H85" s="26"/>
    </row>
    <row r="86" spans="1:8" ht="12.75" customHeight="1">
      <c r="A86" s="23">
        <v>43314</v>
      </c>
      <c r="B86" s="23"/>
      <c r="C86" s="24">
        <f>ROUND(9.86,5)</f>
        <v>9.86</v>
      </c>
      <c r="D86" s="24">
        <f>F86</f>
        <v>10.12164</v>
      </c>
      <c r="E86" s="24">
        <f>F86</f>
        <v>10.12164</v>
      </c>
      <c r="F86" s="24">
        <f>ROUND(10.12164,5)</f>
        <v>10.12164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ROUND(9.88,5)</f>
        <v>9.88</v>
      </c>
      <c r="D88" s="24">
        <f>F88</f>
        <v>9.88069</v>
      </c>
      <c r="E88" s="24">
        <f>F88</f>
        <v>9.88069</v>
      </c>
      <c r="F88" s="24">
        <f>ROUND(9.88069,5)</f>
        <v>9.88069</v>
      </c>
      <c r="G88" s="25"/>
      <c r="H88" s="26"/>
    </row>
    <row r="89" spans="1:8" ht="12.75" customHeight="1">
      <c r="A89" s="23">
        <v>43041</v>
      </c>
      <c r="B89" s="23"/>
      <c r="C89" s="24">
        <f>ROUND(9.88,5)</f>
        <v>9.88</v>
      </c>
      <c r="D89" s="24">
        <f>F89</f>
        <v>9.9416</v>
      </c>
      <c r="E89" s="24">
        <f>F89</f>
        <v>9.9416</v>
      </c>
      <c r="F89" s="24">
        <f>ROUND(9.9416,5)</f>
        <v>9.9416</v>
      </c>
      <c r="G89" s="25"/>
      <c r="H89" s="26"/>
    </row>
    <row r="90" spans="1:8" ht="12.75" customHeight="1">
      <c r="A90" s="23">
        <v>43132</v>
      </c>
      <c r="B90" s="23"/>
      <c r="C90" s="24">
        <f>ROUND(9.88,5)</f>
        <v>9.88</v>
      </c>
      <c r="D90" s="24">
        <f>F90</f>
        <v>10.00439</v>
      </c>
      <c r="E90" s="24">
        <f>F90</f>
        <v>10.00439</v>
      </c>
      <c r="F90" s="24">
        <f>ROUND(10.00439,5)</f>
        <v>10.00439</v>
      </c>
      <c r="G90" s="25"/>
      <c r="H90" s="26"/>
    </row>
    <row r="91" spans="1:8" ht="12.75" customHeight="1">
      <c r="A91" s="23">
        <v>43223</v>
      </c>
      <c r="B91" s="23"/>
      <c r="C91" s="24">
        <f>ROUND(9.88,5)</f>
        <v>9.88</v>
      </c>
      <c r="D91" s="24">
        <f>F91</f>
        <v>10.06935</v>
      </c>
      <c r="E91" s="24">
        <f>F91</f>
        <v>10.06935</v>
      </c>
      <c r="F91" s="24">
        <f>ROUND(10.06935,5)</f>
        <v>10.06935</v>
      </c>
      <c r="G91" s="25"/>
      <c r="H91" s="26"/>
    </row>
    <row r="92" spans="1:8" ht="12.75" customHeight="1">
      <c r="A92" s="23">
        <v>43314</v>
      </c>
      <c r="B92" s="23"/>
      <c r="C92" s="24">
        <f>ROUND(9.88,5)</f>
        <v>9.88</v>
      </c>
      <c r="D92" s="24">
        <f>F92</f>
        <v>10.13244</v>
      </c>
      <c r="E92" s="24">
        <f>F92</f>
        <v>10.13244</v>
      </c>
      <c r="F92" s="24">
        <f>ROUND(10.13244,5)</f>
        <v>10.13244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ROUND(125.11319,5)</f>
        <v>125.11319</v>
      </c>
      <c r="D94" s="24">
        <f>F94</f>
        <v>125.13809</v>
      </c>
      <c r="E94" s="24">
        <f>F94</f>
        <v>125.13809</v>
      </c>
      <c r="F94" s="24">
        <f>ROUND(125.13809,5)</f>
        <v>125.13809</v>
      </c>
      <c r="G94" s="25"/>
      <c r="H94" s="26"/>
    </row>
    <row r="95" spans="1:8" ht="12.75" customHeight="1">
      <c r="A95" s="23">
        <v>43041</v>
      </c>
      <c r="B95" s="23"/>
      <c r="C95" s="24">
        <f>ROUND(125.11319,5)</f>
        <v>125.11319</v>
      </c>
      <c r="D95" s="24">
        <f>F95</f>
        <v>125.91408</v>
      </c>
      <c r="E95" s="24">
        <f>F95</f>
        <v>125.91408</v>
      </c>
      <c r="F95" s="24">
        <f>ROUND(125.91408,5)</f>
        <v>125.91408</v>
      </c>
      <c r="G95" s="25"/>
      <c r="H95" s="26"/>
    </row>
    <row r="96" spans="1:8" ht="12.75" customHeight="1">
      <c r="A96" s="23">
        <v>43132</v>
      </c>
      <c r="B96" s="23"/>
      <c r="C96" s="24">
        <f>ROUND(125.11319,5)</f>
        <v>125.11319</v>
      </c>
      <c r="D96" s="24">
        <f>F96</f>
        <v>128.30429</v>
      </c>
      <c r="E96" s="24">
        <f>F96</f>
        <v>128.30429</v>
      </c>
      <c r="F96" s="24">
        <f>ROUND(128.30429,5)</f>
        <v>128.30429</v>
      </c>
      <c r="G96" s="25"/>
      <c r="H96" s="26"/>
    </row>
    <row r="97" spans="1:8" ht="12.75" customHeight="1">
      <c r="A97" s="23">
        <v>43223</v>
      </c>
      <c r="B97" s="23"/>
      <c r="C97" s="24">
        <f>ROUND(125.11319,5)</f>
        <v>125.11319</v>
      </c>
      <c r="D97" s="24">
        <f>F97</f>
        <v>129.16996</v>
      </c>
      <c r="E97" s="24">
        <f>F97</f>
        <v>129.16996</v>
      </c>
      <c r="F97" s="24">
        <f>ROUND(129.16996,5)</f>
        <v>129.16996</v>
      </c>
      <c r="G97" s="25"/>
      <c r="H97" s="26"/>
    </row>
    <row r="98" spans="1:8" ht="12.75" customHeight="1">
      <c r="A98" s="23">
        <v>43314</v>
      </c>
      <c r="B98" s="23"/>
      <c r="C98" s="24">
        <f>ROUND(125.11319,5)</f>
        <v>125.11319</v>
      </c>
      <c r="D98" s="24">
        <f>F98</f>
        <v>131.62162</v>
      </c>
      <c r="E98" s="24">
        <f>F98</f>
        <v>131.62162</v>
      </c>
      <c r="F98" s="24">
        <f>ROUND(131.62162,5)</f>
        <v>131.62162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ROUND(2.525,5)</f>
        <v>2.525</v>
      </c>
      <c r="D100" s="24">
        <f>F100</f>
        <v>131.48847</v>
      </c>
      <c r="E100" s="24">
        <f>F100</f>
        <v>131.48847</v>
      </c>
      <c r="F100" s="24">
        <f>ROUND(131.48847,5)</f>
        <v>131.48847</v>
      </c>
      <c r="G100" s="25"/>
      <c r="H100" s="26"/>
    </row>
    <row r="101" spans="1:8" ht="12.75" customHeight="1">
      <c r="A101" s="23">
        <v>43041</v>
      </c>
      <c r="B101" s="23"/>
      <c r="C101" s="24">
        <f>ROUND(2.525,5)</f>
        <v>2.525</v>
      </c>
      <c r="D101" s="24">
        <f>F101</f>
        <v>133.95754</v>
      </c>
      <c r="E101" s="24">
        <f>F101</f>
        <v>133.95754</v>
      </c>
      <c r="F101" s="24">
        <f>ROUND(133.95754,5)</f>
        <v>133.95754</v>
      </c>
      <c r="G101" s="25"/>
      <c r="H101" s="26"/>
    </row>
    <row r="102" spans="1:8" ht="12.75" customHeight="1">
      <c r="A102" s="23">
        <v>43132</v>
      </c>
      <c r="B102" s="23"/>
      <c r="C102" s="24">
        <f>ROUND(2.525,5)</f>
        <v>2.525</v>
      </c>
      <c r="D102" s="24">
        <f>F102</f>
        <v>134.80939</v>
      </c>
      <c r="E102" s="24">
        <f>F102</f>
        <v>134.80939</v>
      </c>
      <c r="F102" s="24">
        <f>ROUND(134.80939,5)</f>
        <v>134.80939</v>
      </c>
      <c r="G102" s="25"/>
      <c r="H102" s="26"/>
    </row>
    <row r="103" spans="1:8" ht="12.75" customHeight="1">
      <c r="A103" s="23">
        <v>43223</v>
      </c>
      <c r="B103" s="23"/>
      <c r="C103" s="24">
        <f>ROUND(2.525,5)</f>
        <v>2.525</v>
      </c>
      <c r="D103" s="24">
        <f>F103</f>
        <v>137.41607</v>
      </c>
      <c r="E103" s="24">
        <f>F103</f>
        <v>137.41607</v>
      </c>
      <c r="F103" s="24">
        <f>ROUND(137.41607,5)</f>
        <v>137.41607</v>
      </c>
      <c r="G103" s="25"/>
      <c r="H103" s="26"/>
    </row>
    <row r="104" spans="1:8" ht="12.75" customHeight="1">
      <c r="A104" s="23">
        <v>43314</v>
      </c>
      <c r="B104" s="23"/>
      <c r="C104" s="24">
        <f>ROUND(2.525,5)</f>
        <v>2.525</v>
      </c>
      <c r="D104" s="24">
        <f>F104</f>
        <v>140.02477</v>
      </c>
      <c r="E104" s="24">
        <f>F104</f>
        <v>140.02477</v>
      </c>
      <c r="F104" s="24">
        <f>ROUND(140.02477,5)</f>
        <v>140.02477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ROUND(3.22,5)</f>
        <v>3.22</v>
      </c>
      <c r="D106" s="24">
        <f>F106</f>
        <v>127.01896</v>
      </c>
      <c r="E106" s="24">
        <f>F106</f>
        <v>127.01896</v>
      </c>
      <c r="F106" s="24">
        <f>ROUND(127.01896,5)</f>
        <v>127.01896</v>
      </c>
      <c r="G106" s="25"/>
      <c r="H106" s="26"/>
    </row>
    <row r="107" spans="1:8" ht="12.75" customHeight="1">
      <c r="A107" s="23">
        <v>43041</v>
      </c>
      <c r="B107" s="23"/>
      <c r="C107" s="24">
        <f>ROUND(3.22,5)</f>
        <v>3.22</v>
      </c>
      <c r="D107" s="24">
        <f>F107</f>
        <v>127.66043</v>
      </c>
      <c r="E107" s="24">
        <f>F107</f>
        <v>127.66043</v>
      </c>
      <c r="F107" s="24">
        <f>ROUND(127.66043,5)</f>
        <v>127.66043</v>
      </c>
      <c r="G107" s="25"/>
      <c r="H107" s="26"/>
    </row>
    <row r="108" spans="1:8" ht="12.75" customHeight="1">
      <c r="A108" s="23">
        <v>43132</v>
      </c>
      <c r="B108" s="23"/>
      <c r="C108" s="24">
        <f>ROUND(3.22,5)</f>
        <v>3.22</v>
      </c>
      <c r="D108" s="24">
        <f>F108</f>
        <v>130.08382</v>
      </c>
      <c r="E108" s="24">
        <f>F108</f>
        <v>130.08382</v>
      </c>
      <c r="F108" s="24">
        <f>ROUND(130.08382,5)</f>
        <v>130.08382</v>
      </c>
      <c r="G108" s="25"/>
      <c r="H108" s="26"/>
    </row>
    <row r="109" spans="1:8" ht="12.75" customHeight="1">
      <c r="A109" s="23">
        <v>43223</v>
      </c>
      <c r="B109" s="23"/>
      <c r="C109" s="24">
        <f>ROUND(3.22,5)</f>
        <v>3.22</v>
      </c>
      <c r="D109" s="24">
        <f>F109</f>
        <v>132.59931</v>
      </c>
      <c r="E109" s="24">
        <f>F109</f>
        <v>132.59931</v>
      </c>
      <c r="F109" s="24">
        <f>ROUND(132.59931,5)</f>
        <v>132.59931</v>
      </c>
      <c r="G109" s="25"/>
      <c r="H109" s="26"/>
    </row>
    <row r="110" spans="1:8" ht="12.75" customHeight="1">
      <c r="A110" s="23">
        <v>43314</v>
      </c>
      <c r="B110" s="23"/>
      <c r="C110" s="24">
        <f>ROUND(3.22,5)</f>
        <v>3.22</v>
      </c>
      <c r="D110" s="24">
        <f>F110</f>
        <v>135.11675</v>
      </c>
      <c r="E110" s="24">
        <f>F110</f>
        <v>135.11675</v>
      </c>
      <c r="F110" s="24">
        <f>ROUND(135.11675,5)</f>
        <v>135.11675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ROUND(10.795,5)</f>
        <v>10.795</v>
      </c>
      <c r="D112" s="24">
        <f>F112</f>
        <v>10.79613</v>
      </c>
      <c r="E112" s="24">
        <f>F112</f>
        <v>10.79613</v>
      </c>
      <c r="F112" s="24">
        <f>ROUND(10.79613,5)</f>
        <v>10.79613</v>
      </c>
      <c r="G112" s="25"/>
      <c r="H112" s="26"/>
    </row>
    <row r="113" spans="1:8" ht="12.75" customHeight="1">
      <c r="A113" s="23">
        <v>43041</v>
      </c>
      <c r="B113" s="23"/>
      <c r="C113" s="24">
        <f>ROUND(10.795,5)</f>
        <v>10.795</v>
      </c>
      <c r="D113" s="24">
        <f>F113</f>
        <v>10.89891</v>
      </c>
      <c r="E113" s="24">
        <f>F113</f>
        <v>10.89891</v>
      </c>
      <c r="F113" s="24">
        <f>ROUND(10.89891,5)</f>
        <v>10.89891</v>
      </c>
      <c r="G113" s="25"/>
      <c r="H113" s="26"/>
    </row>
    <row r="114" spans="1:8" ht="12.75" customHeight="1">
      <c r="A114" s="23">
        <v>43132</v>
      </c>
      <c r="B114" s="23"/>
      <c r="C114" s="24">
        <f>ROUND(10.795,5)</f>
        <v>10.795</v>
      </c>
      <c r="D114" s="24">
        <f>F114</f>
        <v>11.00677</v>
      </c>
      <c r="E114" s="24">
        <f>F114</f>
        <v>11.00677</v>
      </c>
      <c r="F114" s="24">
        <f>ROUND(11.00677,5)</f>
        <v>11.00677</v>
      </c>
      <c r="G114" s="25"/>
      <c r="H114" s="26"/>
    </row>
    <row r="115" spans="1:8" ht="12.75" customHeight="1">
      <c r="A115" s="23">
        <v>43223</v>
      </c>
      <c r="B115" s="23"/>
      <c r="C115" s="24">
        <f>ROUND(10.795,5)</f>
        <v>10.795</v>
      </c>
      <c r="D115" s="24">
        <f>F115</f>
        <v>11.11213</v>
      </c>
      <c r="E115" s="24">
        <f>F115</f>
        <v>11.11213</v>
      </c>
      <c r="F115" s="24">
        <f>ROUND(11.11213,5)</f>
        <v>11.11213</v>
      </c>
      <c r="G115" s="25"/>
      <c r="H115" s="26"/>
    </row>
    <row r="116" spans="1:8" ht="12.75" customHeight="1">
      <c r="A116" s="23">
        <v>43314</v>
      </c>
      <c r="B116" s="23"/>
      <c r="C116" s="24">
        <f>ROUND(10.795,5)</f>
        <v>10.795</v>
      </c>
      <c r="D116" s="24">
        <f>F116</f>
        <v>11.21384</v>
      </c>
      <c r="E116" s="24">
        <f>F116</f>
        <v>11.21384</v>
      </c>
      <c r="F116" s="24">
        <f>ROUND(11.21384,5)</f>
        <v>11.21384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ROUND(11.07,5)</f>
        <v>11.07</v>
      </c>
      <c r="D118" s="24">
        <f>F118</f>
        <v>11.07115</v>
      </c>
      <c r="E118" s="24">
        <f>F118</f>
        <v>11.07115</v>
      </c>
      <c r="F118" s="24">
        <f>ROUND(11.07115,5)</f>
        <v>11.07115</v>
      </c>
      <c r="G118" s="25"/>
      <c r="H118" s="26"/>
    </row>
    <row r="119" spans="1:8" ht="12.75" customHeight="1">
      <c r="A119" s="23">
        <v>43041</v>
      </c>
      <c r="B119" s="23"/>
      <c r="C119" s="24">
        <f>ROUND(11.07,5)</f>
        <v>11.07</v>
      </c>
      <c r="D119" s="24">
        <f>F119</f>
        <v>11.17509</v>
      </c>
      <c r="E119" s="24">
        <f>F119</f>
        <v>11.17509</v>
      </c>
      <c r="F119" s="24">
        <f>ROUND(11.17509,5)</f>
        <v>11.17509</v>
      </c>
      <c r="G119" s="25"/>
      <c r="H119" s="26"/>
    </row>
    <row r="120" spans="1:8" ht="12.75" customHeight="1">
      <c r="A120" s="23">
        <v>43132</v>
      </c>
      <c r="B120" s="23"/>
      <c r="C120" s="24">
        <f>ROUND(11.07,5)</f>
        <v>11.07</v>
      </c>
      <c r="D120" s="24">
        <f>F120</f>
        <v>11.28059</v>
      </c>
      <c r="E120" s="24">
        <f>F120</f>
        <v>11.28059</v>
      </c>
      <c r="F120" s="24">
        <f>ROUND(11.28059,5)</f>
        <v>11.28059</v>
      </c>
      <c r="G120" s="25"/>
      <c r="H120" s="26"/>
    </row>
    <row r="121" spans="1:8" ht="12.75" customHeight="1">
      <c r="A121" s="23">
        <v>43223</v>
      </c>
      <c r="B121" s="23"/>
      <c r="C121" s="24">
        <f>ROUND(11.07,5)</f>
        <v>11.07</v>
      </c>
      <c r="D121" s="24">
        <f>F121</f>
        <v>11.38889</v>
      </c>
      <c r="E121" s="24">
        <f>F121</f>
        <v>11.38889</v>
      </c>
      <c r="F121" s="24">
        <f>ROUND(11.38889,5)</f>
        <v>11.38889</v>
      </c>
      <c r="G121" s="25"/>
      <c r="H121" s="26"/>
    </row>
    <row r="122" spans="1:8" ht="12.75" customHeight="1">
      <c r="A122" s="23">
        <v>43314</v>
      </c>
      <c r="B122" s="23"/>
      <c r="C122" s="24">
        <f>ROUND(11.07,5)</f>
        <v>11.07</v>
      </c>
      <c r="D122" s="24">
        <f>F122</f>
        <v>11.492</v>
      </c>
      <c r="E122" s="24">
        <f>F122</f>
        <v>11.492</v>
      </c>
      <c r="F122" s="24">
        <f>ROUND(11.492,5)</f>
        <v>11.492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ROUND(7.95,5)</f>
        <v>7.95</v>
      </c>
      <c r="D124" s="24">
        <f>F124</f>
        <v>7.95035</v>
      </c>
      <c r="E124" s="24">
        <f>F124</f>
        <v>7.95035</v>
      </c>
      <c r="F124" s="24">
        <f>ROUND(7.95035,5)</f>
        <v>7.95035</v>
      </c>
      <c r="G124" s="25"/>
      <c r="H124" s="26"/>
    </row>
    <row r="125" spans="1:8" ht="12.75" customHeight="1">
      <c r="A125" s="23">
        <v>43041</v>
      </c>
      <c r="B125" s="23"/>
      <c r="C125" s="24">
        <f>ROUND(7.95,5)</f>
        <v>7.95</v>
      </c>
      <c r="D125" s="24">
        <f>F125</f>
        <v>7.98105</v>
      </c>
      <c r="E125" s="24">
        <f>F125</f>
        <v>7.98105</v>
      </c>
      <c r="F125" s="24">
        <f>ROUND(7.98105,5)</f>
        <v>7.98105</v>
      </c>
      <c r="G125" s="25"/>
      <c r="H125" s="26"/>
    </row>
    <row r="126" spans="1:8" ht="12.75" customHeight="1">
      <c r="A126" s="23">
        <v>43132</v>
      </c>
      <c r="B126" s="23"/>
      <c r="C126" s="24">
        <f>ROUND(7.95,5)</f>
        <v>7.95</v>
      </c>
      <c r="D126" s="24">
        <f>F126</f>
        <v>8.01344</v>
      </c>
      <c r="E126" s="24">
        <f>F126</f>
        <v>8.01344</v>
      </c>
      <c r="F126" s="24">
        <f>ROUND(8.01344,5)</f>
        <v>8.01344</v>
      </c>
      <c r="G126" s="25"/>
      <c r="H126" s="26"/>
    </row>
    <row r="127" spans="1:8" ht="12.75" customHeight="1">
      <c r="A127" s="23">
        <v>43223</v>
      </c>
      <c r="B127" s="23"/>
      <c r="C127" s="24">
        <f>ROUND(7.95,5)</f>
        <v>7.95</v>
      </c>
      <c r="D127" s="24">
        <f>F127</f>
        <v>8.03635</v>
      </c>
      <c r="E127" s="24">
        <f>F127</f>
        <v>8.03635</v>
      </c>
      <c r="F127" s="24">
        <f>ROUND(8.03635,5)</f>
        <v>8.03635</v>
      </c>
      <c r="G127" s="25"/>
      <c r="H127" s="26"/>
    </row>
    <row r="128" spans="1:8" ht="12.75" customHeight="1">
      <c r="A128" s="23">
        <v>43314</v>
      </c>
      <c r="B128" s="23"/>
      <c r="C128" s="24">
        <f>ROUND(7.95,5)</f>
        <v>7.95</v>
      </c>
      <c r="D128" s="24">
        <f>F128</f>
        <v>8.04745</v>
      </c>
      <c r="E128" s="24">
        <f>F128</f>
        <v>8.04745</v>
      </c>
      <c r="F128" s="24">
        <f>ROUND(8.04745,5)</f>
        <v>8.04745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ROUND(9.62,5)</f>
        <v>9.62</v>
      </c>
      <c r="D130" s="24">
        <f>F130</f>
        <v>9.62071</v>
      </c>
      <c r="E130" s="24">
        <f>F130</f>
        <v>9.62071</v>
      </c>
      <c r="F130" s="24">
        <f>ROUND(9.62071,5)</f>
        <v>9.62071</v>
      </c>
      <c r="G130" s="25"/>
      <c r="H130" s="26"/>
    </row>
    <row r="131" spans="1:8" ht="12.75" customHeight="1">
      <c r="A131" s="23">
        <v>43041</v>
      </c>
      <c r="B131" s="23"/>
      <c r="C131" s="24">
        <f>ROUND(9.62,5)</f>
        <v>9.62</v>
      </c>
      <c r="D131" s="24">
        <f>F131</f>
        <v>9.68497</v>
      </c>
      <c r="E131" s="24">
        <f>F131</f>
        <v>9.68497</v>
      </c>
      <c r="F131" s="24">
        <f>ROUND(9.68497,5)</f>
        <v>9.68497</v>
      </c>
      <c r="G131" s="25"/>
      <c r="H131" s="26"/>
    </row>
    <row r="132" spans="1:8" ht="12.75" customHeight="1">
      <c r="A132" s="23">
        <v>43132</v>
      </c>
      <c r="B132" s="23"/>
      <c r="C132" s="24">
        <f>ROUND(9.62,5)</f>
        <v>9.62</v>
      </c>
      <c r="D132" s="24">
        <f>F132</f>
        <v>9.75181</v>
      </c>
      <c r="E132" s="24">
        <f>F132</f>
        <v>9.75181</v>
      </c>
      <c r="F132" s="24">
        <f>ROUND(9.75181,5)</f>
        <v>9.75181</v>
      </c>
      <c r="G132" s="25"/>
      <c r="H132" s="26"/>
    </row>
    <row r="133" spans="1:8" ht="12.75" customHeight="1">
      <c r="A133" s="23">
        <v>43223</v>
      </c>
      <c r="B133" s="23"/>
      <c r="C133" s="24">
        <f>ROUND(9.62,5)</f>
        <v>9.62</v>
      </c>
      <c r="D133" s="24">
        <f>F133</f>
        <v>9.81382</v>
      </c>
      <c r="E133" s="24">
        <f>F133</f>
        <v>9.81382</v>
      </c>
      <c r="F133" s="24">
        <f>ROUND(9.81382,5)</f>
        <v>9.81382</v>
      </c>
      <c r="G133" s="25"/>
      <c r="H133" s="26"/>
    </row>
    <row r="134" spans="1:8" ht="12.75" customHeight="1">
      <c r="A134" s="23">
        <v>43314</v>
      </c>
      <c r="B134" s="23"/>
      <c r="C134" s="24">
        <f>ROUND(9.62,5)</f>
        <v>9.62</v>
      </c>
      <c r="D134" s="24">
        <f>F134</f>
        <v>9.872</v>
      </c>
      <c r="E134" s="24">
        <f>F134</f>
        <v>9.872</v>
      </c>
      <c r="F134" s="24">
        <f>ROUND(9.872,5)</f>
        <v>9.872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ROUND(8.6,5)</f>
        <v>8.6</v>
      </c>
      <c r="D136" s="24">
        <f>F136</f>
        <v>8.60055</v>
      </c>
      <c r="E136" s="24">
        <f>F136</f>
        <v>8.60055</v>
      </c>
      <c r="F136" s="24">
        <f>ROUND(8.60055,5)</f>
        <v>8.60055</v>
      </c>
      <c r="G136" s="25"/>
      <c r="H136" s="26"/>
    </row>
    <row r="137" spans="1:8" ht="12.75" customHeight="1">
      <c r="A137" s="23">
        <v>43041</v>
      </c>
      <c r="B137" s="23"/>
      <c r="C137" s="24">
        <f>ROUND(8.6,5)</f>
        <v>8.6</v>
      </c>
      <c r="D137" s="24">
        <f>F137</f>
        <v>8.64718</v>
      </c>
      <c r="E137" s="24">
        <f>F137</f>
        <v>8.64718</v>
      </c>
      <c r="F137" s="24">
        <f>ROUND(8.64718,5)</f>
        <v>8.64718</v>
      </c>
      <c r="G137" s="25"/>
      <c r="H137" s="26"/>
    </row>
    <row r="138" spans="1:8" ht="12.75" customHeight="1">
      <c r="A138" s="23">
        <v>43132</v>
      </c>
      <c r="B138" s="23"/>
      <c r="C138" s="24">
        <f>ROUND(8.6,5)</f>
        <v>8.6</v>
      </c>
      <c r="D138" s="24">
        <f>F138</f>
        <v>8.69508</v>
      </c>
      <c r="E138" s="24">
        <f>F138</f>
        <v>8.69508</v>
      </c>
      <c r="F138" s="24">
        <f>ROUND(8.69508,5)</f>
        <v>8.69508</v>
      </c>
      <c r="G138" s="25"/>
      <c r="H138" s="26"/>
    </row>
    <row r="139" spans="1:8" ht="12.75" customHeight="1">
      <c r="A139" s="23">
        <v>43223</v>
      </c>
      <c r="B139" s="23"/>
      <c r="C139" s="24">
        <f>ROUND(8.6,5)</f>
        <v>8.6</v>
      </c>
      <c r="D139" s="24">
        <f>F139</f>
        <v>8.74264</v>
      </c>
      <c r="E139" s="24">
        <f>F139</f>
        <v>8.74264</v>
      </c>
      <c r="F139" s="24">
        <f>ROUND(8.74264,5)</f>
        <v>8.74264</v>
      </c>
      <c r="G139" s="25"/>
      <c r="H139" s="26"/>
    </row>
    <row r="140" spans="1:8" ht="12.75" customHeight="1">
      <c r="A140" s="23">
        <v>43314</v>
      </c>
      <c r="B140" s="23"/>
      <c r="C140" s="24">
        <f>ROUND(8.6,5)</f>
        <v>8.6</v>
      </c>
      <c r="D140" s="24">
        <f>F140</f>
        <v>8.78396</v>
      </c>
      <c r="E140" s="24">
        <f>F140</f>
        <v>8.78396</v>
      </c>
      <c r="F140" s="24">
        <f>ROUND(8.78396,5)</f>
        <v>8.78396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ROUND(2.47,5)</f>
        <v>2.47</v>
      </c>
      <c r="D142" s="24">
        <f>F142</f>
        <v>295.13766</v>
      </c>
      <c r="E142" s="24">
        <f>F142</f>
        <v>295.13766</v>
      </c>
      <c r="F142" s="24">
        <f>ROUND(295.13766,5)</f>
        <v>295.13766</v>
      </c>
      <c r="G142" s="25"/>
      <c r="H142" s="26"/>
    </row>
    <row r="143" spans="1:8" ht="12.75" customHeight="1">
      <c r="A143" s="23">
        <v>43041</v>
      </c>
      <c r="B143" s="23"/>
      <c r="C143" s="24">
        <f>ROUND(2.47,5)</f>
        <v>2.47</v>
      </c>
      <c r="D143" s="24">
        <f>F143</f>
        <v>300.6796</v>
      </c>
      <c r="E143" s="24">
        <f>F143</f>
        <v>300.6796</v>
      </c>
      <c r="F143" s="24">
        <f>ROUND(300.6796,5)</f>
        <v>300.6796</v>
      </c>
      <c r="G143" s="25"/>
      <c r="H143" s="26"/>
    </row>
    <row r="144" spans="1:8" ht="12.75" customHeight="1">
      <c r="A144" s="23">
        <v>43132</v>
      </c>
      <c r="B144" s="23"/>
      <c r="C144" s="24">
        <f>ROUND(2.47,5)</f>
        <v>2.47</v>
      </c>
      <c r="D144" s="24">
        <f>F144</f>
        <v>299.33804</v>
      </c>
      <c r="E144" s="24">
        <f>F144</f>
        <v>299.33804</v>
      </c>
      <c r="F144" s="24">
        <f>ROUND(299.33804,5)</f>
        <v>299.33804</v>
      </c>
      <c r="G144" s="25"/>
      <c r="H144" s="26"/>
    </row>
    <row r="145" spans="1:8" ht="12.75" customHeight="1">
      <c r="A145" s="23">
        <v>43223</v>
      </c>
      <c r="B145" s="23"/>
      <c r="C145" s="24">
        <f>ROUND(2.47,5)</f>
        <v>2.47</v>
      </c>
      <c r="D145" s="24">
        <f>F145</f>
        <v>305.12614</v>
      </c>
      <c r="E145" s="24">
        <f>F145</f>
        <v>305.12614</v>
      </c>
      <c r="F145" s="24">
        <f>ROUND(305.12614,5)</f>
        <v>305.12614</v>
      </c>
      <c r="G145" s="25"/>
      <c r="H145" s="26"/>
    </row>
    <row r="146" spans="1:8" ht="12.75" customHeight="1">
      <c r="A146" s="23">
        <v>43314</v>
      </c>
      <c r="B146" s="23"/>
      <c r="C146" s="24">
        <f>ROUND(2.47,5)</f>
        <v>2.47</v>
      </c>
      <c r="D146" s="24">
        <f>F146</f>
        <v>310.91799</v>
      </c>
      <c r="E146" s="24">
        <f>F146</f>
        <v>310.91799</v>
      </c>
      <c r="F146" s="24">
        <f>ROUND(310.91799,5)</f>
        <v>310.91799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ROUND(2.56,5)</f>
        <v>2.56</v>
      </c>
      <c r="D148" s="24">
        <f>F148</f>
        <v>236.8765</v>
      </c>
      <c r="E148" s="24">
        <f>F148</f>
        <v>236.8765</v>
      </c>
      <c r="F148" s="24">
        <f>ROUND(236.8765,5)</f>
        <v>236.8765</v>
      </c>
      <c r="G148" s="25"/>
      <c r="H148" s="26"/>
    </row>
    <row r="149" spans="1:8" ht="12.75" customHeight="1">
      <c r="A149" s="23">
        <v>43041</v>
      </c>
      <c r="B149" s="23"/>
      <c r="C149" s="24">
        <f>ROUND(2.56,5)</f>
        <v>2.56</v>
      </c>
      <c r="D149" s="24">
        <f>F149</f>
        <v>241.32456</v>
      </c>
      <c r="E149" s="24">
        <f>F149</f>
        <v>241.32456</v>
      </c>
      <c r="F149" s="24">
        <f>ROUND(241.32456,5)</f>
        <v>241.32456</v>
      </c>
      <c r="G149" s="25"/>
      <c r="H149" s="26"/>
    </row>
    <row r="150" spans="1:8" ht="12.75" customHeight="1">
      <c r="A150" s="23">
        <v>43132</v>
      </c>
      <c r="B150" s="23"/>
      <c r="C150" s="24">
        <f>ROUND(2.56,5)</f>
        <v>2.56</v>
      </c>
      <c r="D150" s="24">
        <f>F150</f>
        <v>242.16149</v>
      </c>
      <c r="E150" s="24">
        <f>F150</f>
        <v>242.16149</v>
      </c>
      <c r="F150" s="24">
        <f>ROUND(242.16149,5)</f>
        <v>242.16149</v>
      </c>
      <c r="G150" s="25"/>
      <c r="H150" s="26"/>
    </row>
    <row r="151" spans="1:8" ht="12.75" customHeight="1">
      <c r="A151" s="23">
        <v>43223</v>
      </c>
      <c r="B151" s="23"/>
      <c r="C151" s="24">
        <f>ROUND(2.56,5)</f>
        <v>2.56</v>
      </c>
      <c r="D151" s="24">
        <f>F151</f>
        <v>246.84404</v>
      </c>
      <c r="E151" s="24">
        <f>F151</f>
        <v>246.84404</v>
      </c>
      <c r="F151" s="24">
        <f>ROUND(246.84404,5)</f>
        <v>246.84404</v>
      </c>
      <c r="G151" s="25"/>
      <c r="H151" s="26"/>
    </row>
    <row r="152" spans="1:8" ht="12.75" customHeight="1">
      <c r="A152" s="23">
        <v>43314</v>
      </c>
      <c r="B152" s="23"/>
      <c r="C152" s="24">
        <f>ROUND(2.56,5)</f>
        <v>2.56</v>
      </c>
      <c r="D152" s="24">
        <f>F152</f>
        <v>251.5301</v>
      </c>
      <c r="E152" s="24">
        <f>F152</f>
        <v>251.5301</v>
      </c>
      <c r="F152" s="24">
        <f>ROUND(251.5301,5)</f>
        <v>251.5301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ROUND(7,5)</f>
        <v>7</v>
      </c>
      <c r="D154" s="24">
        <f>F154</f>
        <v>6.9936</v>
      </c>
      <c r="E154" s="24">
        <f>F154</f>
        <v>6.9936</v>
      </c>
      <c r="F154" s="24">
        <f>ROUND(6.9936,5)</f>
        <v>6.9936</v>
      </c>
      <c r="G154" s="25"/>
      <c r="H154" s="26"/>
    </row>
    <row r="155" spans="1:8" ht="12.75" customHeight="1">
      <c r="A155" s="23">
        <v>43041</v>
      </c>
      <c r="B155" s="23"/>
      <c r="C155" s="24">
        <f>ROUND(7,5)</f>
        <v>7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ROUND(7.105,5)</f>
        <v>7.105</v>
      </c>
      <c r="D157" s="24">
        <f>F157</f>
        <v>7.10452</v>
      </c>
      <c r="E157" s="24">
        <f>F157</f>
        <v>7.10452</v>
      </c>
      <c r="F157" s="24">
        <f>ROUND(7.10452,5)</f>
        <v>7.10452</v>
      </c>
      <c r="G157" s="25"/>
      <c r="H157" s="26"/>
    </row>
    <row r="158" spans="1:8" ht="12.75" customHeight="1">
      <c r="A158" s="23">
        <v>43041</v>
      </c>
      <c r="B158" s="23"/>
      <c r="C158" s="24">
        <f>ROUND(7.105,5)</f>
        <v>7.105</v>
      </c>
      <c r="D158" s="24">
        <f>F158</f>
        <v>7.01924</v>
      </c>
      <c r="E158" s="24">
        <f>F158</f>
        <v>7.01924</v>
      </c>
      <c r="F158" s="24">
        <f>ROUND(7.01924,5)</f>
        <v>7.01924</v>
      </c>
      <c r="G158" s="25"/>
      <c r="H158" s="26"/>
    </row>
    <row r="159" spans="1:8" ht="12.75" customHeight="1">
      <c r="A159" s="23">
        <v>43132</v>
      </c>
      <c r="B159" s="23"/>
      <c r="C159" s="24">
        <f>ROUND(7.105,5)</f>
        <v>7.105</v>
      </c>
      <c r="D159" s="24">
        <f>F159</f>
        <v>6.87297</v>
      </c>
      <c r="E159" s="24">
        <f>F159</f>
        <v>6.87297</v>
      </c>
      <c r="F159" s="24">
        <f>ROUND(6.87297,5)</f>
        <v>6.87297</v>
      </c>
      <c r="G159" s="25"/>
      <c r="H159" s="26"/>
    </row>
    <row r="160" spans="1:8" ht="12.75" customHeight="1">
      <c r="A160" s="23">
        <v>43223</v>
      </c>
      <c r="B160" s="23"/>
      <c r="C160" s="24">
        <f>ROUND(7.105,5)</f>
        <v>7.105</v>
      </c>
      <c r="D160" s="24">
        <f>F160</f>
        <v>6.575</v>
      </c>
      <c r="E160" s="24">
        <f>F160</f>
        <v>6.575</v>
      </c>
      <c r="F160" s="24">
        <f>ROUND(6.575,5)</f>
        <v>6.575</v>
      </c>
      <c r="G160" s="25"/>
      <c r="H160" s="26"/>
    </row>
    <row r="161" spans="1:8" ht="12.75" customHeight="1">
      <c r="A161" s="23">
        <v>43314</v>
      </c>
      <c r="B161" s="23"/>
      <c r="C161" s="24">
        <f>ROUND(7.105,5)</f>
        <v>7.105</v>
      </c>
      <c r="D161" s="24">
        <f>F161</f>
        <v>5.70502</v>
      </c>
      <c r="E161" s="24">
        <f>F161</f>
        <v>5.70502</v>
      </c>
      <c r="F161" s="24">
        <f>ROUND(5.70502,5)</f>
        <v>5.70502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ROUND(7.37,5)</f>
        <v>7.37</v>
      </c>
      <c r="D163" s="24">
        <f>F163</f>
        <v>7.36999</v>
      </c>
      <c r="E163" s="24">
        <f>F163</f>
        <v>7.36999</v>
      </c>
      <c r="F163" s="24">
        <f>ROUND(7.36999,5)</f>
        <v>7.36999</v>
      </c>
      <c r="G163" s="25"/>
      <c r="H163" s="26"/>
    </row>
    <row r="164" spans="1:8" ht="12.75" customHeight="1">
      <c r="A164" s="23">
        <v>43041</v>
      </c>
      <c r="B164" s="23"/>
      <c r="C164" s="24">
        <f>ROUND(7.37,5)</f>
        <v>7.37</v>
      </c>
      <c r="D164" s="24">
        <f>F164</f>
        <v>7.35268</v>
      </c>
      <c r="E164" s="24">
        <f>F164</f>
        <v>7.35268</v>
      </c>
      <c r="F164" s="24">
        <f>ROUND(7.35268,5)</f>
        <v>7.35268</v>
      </c>
      <c r="G164" s="25"/>
      <c r="H164" s="26"/>
    </row>
    <row r="165" spans="1:8" ht="12.75" customHeight="1">
      <c r="A165" s="23">
        <v>43132</v>
      </c>
      <c r="B165" s="23"/>
      <c r="C165" s="24">
        <f>ROUND(7.37,5)</f>
        <v>7.37</v>
      </c>
      <c r="D165" s="24">
        <f>F165</f>
        <v>7.32609</v>
      </c>
      <c r="E165" s="24">
        <f>F165</f>
        <v>7.32609</v>
      </c>
      <c r="F165" s="24">
        <f>ROUND(7.32609,5)</f>
        <v>7.32609</v>
      </c>
      <c r="G165" s="25"/>
      <c r="H165" s="26"/>
    </row>
    <row r="166" spans="1:8" ht="12.75" customHeight="1">
      <c r="A166" s="23">
        <v>43223</v>
      </c>
      <c r="B166" s="23"/>
      <c r="C166" s="24">
        <f>ROUND(7.37,5)</f>
        <v>7.37</v>
      </c>
      <c r="D166" s="24">
        <f>F166</f>
        <v>7.29072</v>
      </c>
      <c r="E166" s="24">
        <f>F166</f>
        <v>7.29072</v>
      </c>
      <c r="F166" s="24">
        <f>ROUND(7.29072,5)</f>
        <v>7.29072</v>
      </c>
      <c r="G166" s="25"/>
      <c r="H166" s="26"/>
    </row>
    <row r="167" spans="1:8" ht="12.75" customHeight="1">
      <c r="A167" s="23">
        <v>43314</v>
      </c>
      <c r="B167" s="23"/>
      <c r="C167" s="24">
        <f>ROUND(7.37,5)</f>
        <v>7.37</v>
      </c>
      <c r="D167" s="24">
        <f>F167</f>
        <v>7.20256</v>
      </c>
      <c r="E167" s="24">
        <f>F167</f>
        <v>7.20256</v>
      </c>
      <c r="F167" s="24">
        <f>ROUND(7.20256,5)</f>
        <v>7.20256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ROUND(7.525,5)</f>
        <v>7.525</v>
      </c>
      <c r="D169" s="24">
        <f>F169</f>
        <v>7.52516</v>
      </c>
      <c r="E169" s="24">
        <f>F169</f>
        <v>7.52516</v>
      </c>
      <c r="F169" s="24">
        <f>ROUND(7.52516,5)</f>
        <v>7.52516</v>
      </c>
      <c r="G169" s="25"/>
      <c r="H169" s="26"/>
    </row>
    <row r="170" spans="1:8" ht="12.75" customHeight="1">
      <c r="A170" s="23">
        <v>43041</v>
      </c>
      <c r="B170" s="23"/>
      <c r="C170" s="24">
        <f>ROUND(7.525,5)</f>
        <v>7.525</v>
      </c>
      <c r="D170" s="24">
        <f>F170</f>
        <v>7.53122</v>
      </c>
      <c r="E170" s="24">
        <f>F170</f>
        <v>7.53122</v>
      </c>
      <c r="F170" s="24">
        <f>ROUND(7.53122,5)</f>
        <v>7.53122</v>
      </c>
      <c r="G170" s="25"/>
      <c r="H170" s="26"/>
    </row>
    <row r="171" spans="1:8" ht="12.75" customHeight="1">
      <c r="A171" s="23">
        <v>43132</v>
      </c>
      <c r="B171" s="23"/>
      <c r="C171" s="24">
        <f>ROUND(7.525,5)</f>
        <v>7.525</v>
      </c>
      <c r="D171" s="24">
        <f>F171</f>
        <v>7.53485</v>
      </c>
      <c r="E171" s="24">
        <f>F171</f>
        <v>7.53485</v>
      </c>
      <c r="F171" s="24">
        <f>ROUND(7.53485,5)</f>
        <v>7.53485</v>
      </c>
      <c r="G171" s="25"/>
      <c r="H171" s="26"/>
    </row>
    <row r="172" spans="1:8" ht="12.75" customHeight="1">
      <c r="A172" s="23">
        <v>43223</v>
      </c>
      <c r="B172" s="23"/>
      <c r="C172" s="24">
        <f>ROUND(7.525,5)</f>
        <v>7.525</v>
      </c>
      <c r="D172" s="24">
        <f>F172</f>
        <v>7.52776</v>
      </c>
      <c r="E172" s="24">
        <f>F172</f>
        <v>7.52776</v>
      </c>
      <c r="F172" s="24">
        <f>ROUND(7.52776,5)</f>
        <v>7.52776</v>
      </c>
      <c r="G172" s="25"/>
      <c r="H172" s="26"/>
    </row>
    <row r="173" spans="1:8" ht="12.75" customHeight="1">
      <c r="A173" s="23">
        <v>43314</v>
      </c>
      <c r="B173" s="23"/>
      <c r="C173" s="24">
        <f>ROUND(7.525,5)</f>
        <v>7.525</v>
      </c>
      <c r="D173" s="24">
        <f>F173</f>
        <v>7.49741</v>
      </c>
      <c r="E173" s="24">
        <f>F173</f>
        <v>7.49741</v>
      </c>
      <c r="F173" s="24">
        <f>ROUND(7.49741,5)</f>
        <v>7.49741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ROUND(9.585,5)</f>
        <v>9.585</v>
      </c>
      <c r="D175" s="24">
        <f>F175</f>
        <v>9.58565</v>
      </c>
      <c r="E175" s="24">
        <f>F175</f>
        <v>9.58565</v>
      </c>
      <c r="F175" s="24">
        <f>ROUND(9.58565,5)</f>
        <v>9.58565</v>
      </c>
      <c r="G175" s="25"/>
      <c r="H175" s="26"/>
    </row>
    <row r="176" spans="1:8" ht="12.75" customHeight="1">
      <c r="A176" s="23">
        <v>43041</v>
      </c>
      <c r="B176" s="23"/>
      <c r="C176" s="24">
        <f>ROUND(9.585,5)</f>
        <v>9.585</v>
      </c>
      <c r="D176" s="24">
        <f>F176</f>
        <v>9.64214</v>
      </c>
      <c r="E176" s="24">
        <f>F176</f>
        <v>9.64214</v>
      </c>
      <c r="F176" s="24">
        <f>ROUND(9.64214,5)</f>
        <v>9.64214</v>
      </c>
      <c r="G176" s="25"/>
      <c r="H176" s="26"/>
    </row>
    <row r="177" spans="1:8" ht="12.75" customHeight="1">
      <c r="A177" s="23">
        <v>43132</v>
      </c>
      <c r="B177" s="23"/>
      <c r="C177" s="24">
        <f>ROUND(9.585,5)</f>
        <v>9.585</v>
      </c>
      <c r="D177" s="24">
        <f>F177</f>
        <v>9.69951</v>
      </c>
      <c r="E177" s="24">
        <f>F177</f>
        <v>9.69951</v>
      </c>
      <c r="F177" s="24">
        <f>ROUND(9.69951,5)</f>
        <v>9.69951</v>
      </c>
      <c r="G177" s="25"/>
      <c r="H177" s="26"/>
    </row>
    <row r="178" spans="1:8" ht="12.75" customHeight="1">
      <c r="A178" s="23">
        <v>43223</v>
      </c>
      <c r="B178" s="23"/>
      <c r="C178" s="24">
        <f>ROUND(9.585,5)</f>
        <v>9.585</v>
      </c>
      <c r="D178" s="24">
        <f>F178</f>
        <v>9.75574</v>
      </c>
      <c r="E178" s="24">
        <f>F178</f>
        <v>9.75574</v>
      </c>
      <c r="F178" s="24">
        <f>ROUND(9.75574,5)</f>
        <v>9.75574</v>
      </c>
      <c r="G178" s="25"/>
      <c r="H178" s="26"/>
    </row>
    <row r="179" spans="1:8" ht="12.75" customHeight="1">
      <c r="A179" s="23">
        <v>43314</v>
      </c>
      <c r="B179" s="23"/>
      <c r="C179" s="24">
        <f>ROUND(9.585,5)</f>
        <v>9.585</v>
      </c>
      <c r="D179" s="24">
        <f>F179</f>
        <v>9.80771</v>
      </c>
      <c r="E179" s="24">
        <f>F179</f>
        <v>9.80771</v>
      </c>
      <c r="F179" s="24">
        <f>ROUND(9.80771,5)</f>
        <v>9.80771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ROUND(2.5,5)</f>
        <v>2.5</v>
      </c>
      <c r="D181" s="24">
        <f>F181</f>
        <v>184.70679</v>
      </c>
      <c r="E181" s="24">
        <f>F181</f>
        <v>184.70679</v>
      </c>
      <c r="F181" s="24">
        <f>ROUND(184.70679,5)</f>
        <v>184.70679</v>
      </c>
      <c r="G181" s="25"/>
      <c r="H181" s="26"/>
    </row>
    <row r="182" spans="1:8" ht="12.75" customHeight="1">
      <c r="A182" s="23">
        <v>43041</v>
      </c>
      <c r="B182" s="23"/>
      <c r="C182" s="24">
        <f>ROUND(2.5,5)</f>
        <v>2.5</v>
      </c>
      <c r="D182" s="24">
        <f>F182</f>
        <v>185.78938</v>
      </c>
      <c r="E182" s="24">
        <f>F182</f>
        <v>185.78938</v>
      </c>
      <c r="F182" s="24">
        <f>ROUND(185.78938,5)</f>
        <v>185.78938</v>
      </c>
      <c r="G182" s="25"/>
      <c r="H182" s="26"/>
    </row>
    <row r="183" spans="1:8" ht="12.75" customHeight="1">
      <c r="A183" s="23">
        <v>43132</v>
      </c>
      <c r="B183" s="23"/>
      <c r="C183" s="24">
        <f>ROUND(2.5,5)</f>
        <v>2.5</v>
      </c>
      <c r="D183" s="24">
        <f>F183</f>
        <v>189.3165</v>
      </c>
      <c r="E183" s="24">
        <f>F183</f>
        <v>189.3165</v>
      </c>
      <c r="F183" s="24">
        <f>ROUND(189.3165,5)</f>
        <v>189.3165</v>
      </c>
      <c r="G183" s="25"/>
      <c r="H183" s="26"/>
    </row>
    <row r="184" spans="1:8" ht="12.75" customHeight="1">
      <c r="A184" s="23">
        <v>43223</v>
      </c>
      <c r="B184" s="23"/>
      <c r="C184" s="24">
        <f>ROUND(2.5,5)</f>
        <v>2.5</v>
      </c>
      <c r="D184" s="24">
        <f>F184</f>
        <v>190.52841</v>
      </c>
      <c r="E184" s="24">
        <f>F184</f>
        <v>190.52841</v>
      </c>
      <c r="F184" s="24">
        <f>ROUND(190.52841,5)</f>
        <v>190.52841</v>
      </c>
      <c r="G184" s="25"/>
      <c r="H184" s="26"/>
    </row>
    <row r="185" spans="1:8" ht="12.75" customHeight="1">
      <c r="A185" s="23">
        <v>43314</v>
      </c>
      <c r="B185" s="23"/>
      <c r="C185" s="24">
        <f>ROUND(2.5,5)</f>
        <v>2.5</v>
      </c>
      <c r="D185" s="24">
        <f>F185</f>
        <v>194.14462</v>
      </c>
      <c r="E185" s="24">
        <f>F185</f>
        <v>194.14462</v>
      </c>
      <c r="F185" s="24">
        <f>ROUND(194.14462,5)</f>
        <v>194.14462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ROUND(2.455,5)</f>
        <v>2.455</v>
      </c>
      <c r="D190" s="24">
        <f>F190</f>
        <v>148.18382</v>
      </c>
      <c r="E190" s="24">
        <f>F190</f>
        <v>148.18382</v>
      </c>
      <c r="F190" s="24">
        <f>ROUND(148.18382,5)</f>
        <v>148.18382</v>
      </c>
      <c r="G190" s="25"/>
      <c r="H190" s="26"/>
    </row>
    <row r="191" spans="1:8" ht="12.75" customHeight="1">
      <c r="A191" s="23">
        <v>43041</v>
      </c>
      <c r="B191" s="23"/>
      <c r="C191" s="24">
        <f>ROUND(2.455,5)</f>
        <v>2.455</v>
      </c>
      <c r="D191" s="24">
        <f>F191</f>
        <v>150.96644</v>
      </c>
      <c r="E191" s="24">
        <f>F191</f>
        <v>150.96644</v>
      </c>
      <c r="F191" s="24">
        <f>ROUND(150.96644,5)</f>
        <v>150.96644</v>
      </c>
      <c r="G191" s="25"/>
      <c r="H191" s="26"/>
    </row>
    <row r="192" spans="1:8" ht="12.75" customHeight="1">
      <c r="A192" s="23">
        <v>43132</v>
      </c>
      <c r="B192" s="23"/>
      <c r="C192" s="24">
        <f>ROUND(2.455,5)</f>
        <v>2.455</v>
      </c>
      <c r="D192" s="24">
        <f>F192</f>
        <v>151.77243</v>
      </c>
      <c r="E192" s="24">
        <f>F192</f>
        <v>151.77243</v>
      </c>
      <c r="F192" s="24">
        <f>ROUND(151.77243,5)</f>
        <v>151.77243</v>
      </c>
      <c r="G192" s="25"/>
      <c r="H192" s="26"/>
    </row>
    <row r="193" spans="1:8" ht="12.75" customHeight="1">
      <c r="A193" s="23">
        <v>43223</v>
      </c>
      <c r="B193" s="23"/>
      <c r="C193" s="24">
        <f>ROUND(2.455,5)</f>
        <v>2.455</v>
      </c>
      <c r="D193" s="24">
        <f>F193</f>
        <v>154.70721</v>
      </c>
      <c r="E193" s="24">
        <f>F193</f>
        <v>154.70721</v>
      </c>
      <c r="F193" s="24">
        <f>ROUND(154.70721,5)</f>
        <v>154.70721</v>
      </c>
      <c r="G193" s="25"/>
      <c r="H193" s="26"/>
    </row>
    <row r="194" spans="1:8" ht="12.75" customHeight="1">
      <c r="A194" s="23">
        <v>43314</v>
      </c>
      <c r="B194" s="23"/>
      <c r="C194" s="24">
        <f>ROUND(2.455,5)</f>
        <v>2.455</v>
      </c>
      <c r="D194" s="24">
        <f>F194</f>
        <v>157.64398</v>
      </c>
      <c r="E194" s="24">
        <f>F194</f>
        <v>157.64398</v>
      </c>
      <c r="F194" s="24">
        <f>ROUND(157.64398,5)</f>
        <v>157.64398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ROUND(9.24,5)</f>
        <v>9.24</v>
      </c>
      <c r="D196" s="24">
        <f>F196</f>
        <v>9.24062</v>
      </c>
      <c r="E196" s="24">
        <f>F196</f>
        <v>9.24062</v>
      </c>
      <c r="F196" s="24">
        <f>ROUND(9.24062,5)</f>
        <v>9.24062</v>
      </c>
      <c r="G196" s="25"/>
      <c r="H196" s="26"/>
    </row>
    <row r="197" spans="1:8" ht="12.75" customHeight="1">
      <c r="A197" s="23">
        <v>43041</v>
      </c>
      <c r="B197" s="23"/>
      <c r="C197" s="24">
        <f>ROUND(9.24,5)</f>
        <v>9.24</v>
      </c>
      <c r="D197" s="24">
        <f>F197</f>
        <v>9.29669</v>
      </c>
      <c r="E197" s="24">
        <f>F197</f>
        <v>9.29669</v>
      </c>
      <c r="F197" s="24">
        <f>ROUND(9.29669,5)</f>
        <v>9.29669</v>
      </c>
      <c r="G197" s="25"/>
      <c r="H197" s="26"/>
    </row>
    <row r="198" spans="1:8" ht="12.75" customHeight="1">
      <c r="A198" s="23">
        <v>43132</v>
      </c>
      <c r="B198" s="23"/>
      <c r="C198" s="24">
        <f>ROUND(9.24,5)</f>
        <v>9.24</v>
      </c>
      <c r="D198" s="24">
        <f>F198</f>
        <v>9.35504</v>
      </c>
      <c r="E198" s="24">
        <f>F198</f>
        <v>9.35504</v>
      </c>
      <c r="F198" s="24">
        <f>ROUND(9.35504,5)</f>
        <v>9.35504</v>
      </c>
      <c r="G198" s="25"/>
      <c r="H198" s="26"/>
    </row>
    <row r="199" spans="1:8" ht="12.75" customHeight="1">
      <c r="A199" s="23">
        <v>43223</v>
      </c>
      <c r="B199" s="23"/>
      <c r="C199" s="24">
        <f>ROUND(9.24,5)</f>
        <v>9.24</v>
      </c>
      <c r="D199" s="24">
        <f>F199</f>
        <v>9.40845</v>
      </c>
      <c r="E199" s="24">
        <f>F199</f>
        <v>9.40845</v>
      </c>
      <c r="F199" s="24">
        <f>ROUND(9.40845,5)</f>
        <v>9.40845</v>
      </c>
      <c r="G199" s="25"/>
      <c r="H199" s="26"/>
    </row>
    <row r="200" spans="1:8" ht="12.75" customHeight="1">
      <c r="A200" s="23">
        <v>43314</v>
      </c>
      <c r="B200" s="23"/>
      <c r="C200" s="24">
        <f>ROUND(9.24,5)</f>
        <v>9.24</v>
      </c>
      <c r="D200" s="24">
        <f>F200</f>
        <v>9.45744</v>
      </c>
      <c r="E200" s="24">
        <f>F200</f>
        <v>9.45744</v>
      </c>
      <c r="F200" s="24">
        <f>ROUND(9.45744,5)</f>
        <v>9.45744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ROUND(9.77,5)</f>
        <v>9.77</v>
      </c>
      <c r="D202" s="24">
        <f>F202</f>
        <v>9.77066</v>
      </c>
      <c r="E202" s="24">
        <f>F202</f>
        <v>9.77066</v>
      </c>
      <c r="F202" s="24">
        <f>ROUND(9.77066,5)</f>
        <v>9.77066</v>
      </c>
      <c r="G202" s="25"/>
      <c r="H202" s="26"/>
    </row>
    <row r="203" spans="1:8" ht="12.75" customHeight="1">
      <c r="A203" s="23">
        <v>43041</v>
      </c>
      <c r="B203" s="23"/>
      <c r="C203" s="24">
        <f>ROUND(9.77,5)</f>
        <v>9.77</v>
      </c>
      <c r="D203" s="24">
        <f>F203</f>
        <v>9.83002</v>
      </c>
      <c r="E203" s="24">
        <f>F203</f>
        <v>9.83002</v>
      </c>
      <c r="F203" s="24">
        <f>ROUND(9.83002,5)</f>
        <v>9.83002</v>
      </c>
      <c r="G203" s="25"/>
      <c r="H203" s="26"/>
    </row>
    <row r="204" spans="1:8" ht="12.75" customHeight="1">
      <c r="A204" s="23">
        <v>43132</v>
      </c>
      <c r="B204" s="23"/>
      <c r="C204" s="24">
        <f>ROUND(9.77,5)</f>
        <v>9.77</v>
      </c>
      <c r="D204" s="24">
        <f>F204</f>
        <v>9.89141</v>
      </c>
      <c r="E204" s="24">
        <f>F204</f>
        <v>9.89141</v>
      </c>
      <c r="F204" s="24">
        <f>ROUND(9.89141,5)</f>
        <v>9.89141</v>
      </c>
      <c r="G204" s="25"/>
      <c r="H204" s="26"/>
    </row>
    <row r="205" spans="1:8" ht="12.75" customHeight="1">
      <c r="A205" s="23">
        <v>43223</v>
      </c>
      <c r="B205" s="23"/>
      <c r="C205" s="24">
        <f>ROUND(9.77,5)</f>
        <v>9.77</v>
      </c>
      <c r="D205" s="24">
        <f>F205</f>
        <v>9.94829</v>
      </c>
      <c r="E205" s="24">
        <f>F205</f>
        <v>9.94829</v>
      </c>
      <c r="F205" s="24">
        <f>ROUND(9.94829,5)</f>
        <v>9.94829</v>
      </c>
      <c r="G205" s="25"/>
      <c r="H205" s="26"/>
    </row>
    <row r="206" spans="1:8" ht="12.75" customHeight="1">
      <c r="A206" s="23">
        <v>43314</v>
      </c>
      <c r="B206" s="23"/>
      <c r="C206" s="24">
        <f>ROUND(9.77,5)</f>
        <v>9.77</v>
      </c>
      <c r="D206" s="24">
        <f>F206</f>
        <v>10.00164</v>
      </c>
      <c r="E206" s="24">
        <f>F206</f>
        <v>10.00164</v>
      </c>
      <c r="F206" s="24">
        <f>ROUND(10.00164,5)</f>
        <v>10.00164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ROUND(9.845,5)</f>
        <v>9.845</v>
      </c>
      <c r="D208" s="24">
        <f>F208</f>
        <v>9.84569</v>
      </c>
      <c r="E208" s="24">
        <f>F208</f>
        <v>9.84569</v>
      </c>
      <c r="F208" s="24">
        <f>ROUND(9.84569,5)</f>
        <v>9.84569</v>
      </c>
      <c r="G208" s="25"/>
      <c r="H208" s="26"/>
    </row>
    <row r="209" spans="1:8" ht="12.75" customHeight="1">
      <c r="A209" s="23">
        <v>43041</v>
      </c>
      <c r="B209" s="23"/>
      <c r="C209" s="24">
        <f>ROUND(9.845,5)</f>
        <v>9.845</v>
      </c>
      <c r="D209" s="24">
        <f>F209</f>
        <v>9.90748</v>
      </c>
      <c r="E209" s="24">
        <f>F209</f>
        <v>9.90748</v>
      </c>
      <c r="F209" s="24">
        <f>ROUND(9.90748,5)</f>
        <v>9.90748</v>
      </c>
      <c r="G209" s="25"/>
      <c r="H209" s="26"/>
    </row>
    <row r="210" spans="1:8" ht="12.75" customHeight="1">
      <c r="A210" s="23">
        <v>43132</v>
      </c>
      <c r="B210" s="23"/>
      <c r="C210" s="24">
        <f>ROUND(9.845,5)</f>
        <v>9.845</v>
      </c>
      <c r="D210" s="24">
        <f>F210</f>
        <v>9.97147</v>
      </c>
      <c r="E210" s="24">
        <f>F210</f>
        <v>9.97147</v>
      </c>
      <c r="F210" s="24">
        <f>ROUND(9.97147,5)</f>
        <v>9.97147</v>
      </c>
      <c r="G210" s="25"/>
      <c r="H210" s="26"/>
    </row>
    <row r="211" spans="1:8" ht="12.75" customHeight="1">
      <c r="A211" s="23">
        <v>43223</v>
      </c>
      <c r="B211" s="23"/>
      <c r="C211" s="24">
        <f>ROUND(9.845,5)</f>
        <v>9.845</v>
      </c>
      <c r="D211" s="24">
        <f>F211</f>
        <v>10.0309</v>
      </c>
      <c r="E211" s="24">
        <f>F211</f>
        <v>10.0309</v>
      </c>
      <c r="F211" s="24">
        <f>ROUND(10.0309,5)</f>
        <v>10.0309</v>
      </c>
      <c r="G211" s="25"/>
      <c r="H211" s="26"/>
    </row>
    <row r="212" spans="1:8" ht="12.75" customHeight="1">
      <c r="A212" s="23">
        <v>43314</v>
      </c>
      <c r="B212" s="23"/>
      <c r="C212" s="24">
        <f>ROUND(9.845,5)</f>
        <v>9.845</v>
      </c>
      <c r="D212" s="24">
        <f>F212</f>
        <v>10.08689</v>
      </c>
      <c r="E212" s="24">
        <f>F212</f>
        <v>10.08689</v>
      </c>
      <c r="F212" s="24">
        <f>ROUND(10.08689,5)</f>
        <v>10.08689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42976</v>
      </c>
      <c r="B214" s="23"/>
      <c r="C214" s="28">
        <f>ROUND(15.7089975625,4)</f>
        <v>15.709</v>
      </c>
      <c r="D214" s="28">
        <f>F214</f>
        <v>15.7911</v>
      </c>
      <c r="E214" s="28">
        <f>F214</f>
        <v>15.7911</v>
      </c>
      <c r="F214" s="28">
        <f>ROUND(15.7911,4)</f>
        <v>15.7911</v>
      </c>
      <c r="G214" s="25"/>
      <c r="H214" s="26"/>
    </row>
    <row r="215" spans="1:8" ht="12.75" customHeight="1">
      <c r="A215" s="23">
        <v>43005</v>
      </c>
      <c r="B215" s="23"/>
      <c r="C215" s="28">
        <f>ROUND(15.7089975625,4)</f>
        <v>15.709</v>
      </c>
      <c r="D215" s="28">
        <f>F215</f>
        <v>15.8959</v>
      </c>
      <c r="E215" s="28">
        <f>F215</f>
        <v>15.8959</v>
      </c>
      <c r="F215" s="28">
        <f>ROUND(15.8959,4)</f>
        <v>15.8959</v>
      </c>
      <c r="G215" s="25"/>
      <c r="H215" s="26"/>
    </row>
    <row r="216" spans="1:8" ht="12.75" customHeight="1">
      <c r="A216" s="23">
        <v>43035</v>
      </c>
      <c r="B216" s="23"/>
      <c r="C216" s="28">
        <f>ROUND(15.7089975625,4)</f>
        <v>15.709</v>
      </c>
      <c r="D216" s="28">
        <f>F216</f>
        <v>15.9972</v>
      </c>
      <c r="E216" s="28">
        <f>F216</f>
        <v>15.9972</v>
      </c>
      <c r="F216" s="28">
        <f>ROUND(15.9972,4)</f>
        <v>15.9972</v>
      </c>
      <c r="G216" s="25"/>
      <c r="H216" s="26"/>
    </row>
    <row r="217" spans="1:8" ht="12.75" customHeight="1">
      <c r="A217" s="23">
        <v>43067</v>
      </c>
      <c r="B217" s="23"/>
      <c r="C217" s="28">
        <f>ROUND(15.7089975625,4)</f>
        <v>15.709</v>
      </c>
      <c r="D217" s="28">
        <f>F217</f>
        <v>16.1055</v>
      </c>
      <c r="E217" s="28">
        <f>F217</f>
        <v>16.1055</v>
      </c>
      <c r="F217" s="28">
        <f>ROUND(16.1055,4)</f>
        <v>16.1055</v>
      </c>
      <c r="G217" s="25"/>
      <c r="H217" s="26"/>
    </row>
    <row r="218" spans="1:8" ht="12.75" customHeight="1">
      <c r="A218" s="23">
        <v>43096</v>
      </c>
      <c r="B218" s="23"/>
      <c r="C218" s="28">
        <f>ROUND(15.7089975625,4)</f>
        <v>15.709</v>
      </c>
      <c r="D218" s="28">
        <f>F218</f>
        <v>16.208</v>
      </c>
      <c r="E218" s="28">
        <f>F218</f>
        <v>16.208</v>
      </c>
      <c r="F218" s="28">
        <f>ROUND(16.208,4)</f>
        <v>16.208</v>
      </c>
      <c r="G218" s="25"/>
      <c r="H218" s="26"/>
    </row>
    <row r="219" spans="1:8" ht="12.75" customHeight="1">
      <c r="A219" s="23" t="s">
        <v>60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42978</v>
      </c>
      <c r="B220" s="23"/>
      <c r="C220" s="28">
        <f>ROUND(17.524104125,4)</f>
        <v>17.5241</v>
      </c>
      <c r="D220" s="28">
        <f>F220</f>
        <v>17.6148</v>
      </c>
      <c r="E220" s="28">
        <f>F220</f>
        <v>17.6148</v>
      </c>
      <c r="F220" s="28">
        <f>ROUND(17.6148,4)</f>
        <v>17.6148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42962</v>
      </c>
      <c r="B222" s="23"/>
      <c r="C222" s="28">
        <f>ROUND(9.853767,4)</f>
        <v>9.8538</v>
      </c>
      <c r="D222" s="28">
        <f>F222</f>
        <v>9.8656</v>
      </c>
      <c r="E222" s="28">
        <f>F222</f>
        <v>9.8656</v>
      </c>
      <c r="F222" s="28">
        <f>ROUND(9.8656,4)</f>
        <v>9.8656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42949</v>
      </c>
      <c r="B224" s="23"/>
      <c r="C224" s="28">
        <f>ROUND(13.255,4)</f>
        <v>13.255</v>
      </c>
      <c r="D224" s="28">
        <f>F224</f>
        <v>13.2565</v>
      </c>
      <c r="E224" s="28">
        <f>F224</f>
        <v>13.2565</v>
      </c>
      <c r="F224" s="28">
        <f>ROUND(13.2565,4)</f>
        <v>13.2565</v>
      </c>
      <c r="G224" s="25"/>
      <c r="H224" s="26"/>
    </row>
    <row r="225" spans="1:8" ht="12.75" customHeight="1">
      <c r="A225" s="23">
        <v>42951</v>
      </c>
      <c r="B225" s="23"/>
      <c r="C225" s="28">
        <f>ROUND(13.255,4)</f>
        <v>13.255</v>
      </c>
      <c r="D225" s="28">
        <f>F225</f>
        <v>13.2583</v>
      </c>
      <c r="E225" s="28">
        <f>F225</f>
        <v>13.2583</v>
      </c>
      <c r="F225" s="28">
        <f>ROUND(13.2583,4)</f>
        <v>13.2583</v>
      </c>
      <c r="G225" s="25"/>
      <c r="H225" s="26"/>
    </row>
    <row r="226" spans="1:8" ht="12.75" customHeight="1">
      <c r="A226" s="23">
        <v>42958</v>
      </c>
      <c r="B226" s="23"/>
      <c r="C226" s="28">
        <f>ROUND(13.255,4)</f>
        <v>13.255</v>
      </c>
      <c r="D226" s="28">
        <f>F226</f>
        <v>13.2664</v>
      </c>
      <c r="E226" s="28">
        <f>F226</f>
        <v>13.2664</v>
      </c>
      <c r="F226" s="28">
        <f>ROUND(13.2664,4)</f>
        <v>13.2664</v>
      </c>
      <c r="G226" s="25"/>
      <c r="H226" s="26"/>
    </row>
    <row r="227" spans="1:8" ht="12.75" customHeight="1">
      <c r="A227" s="23">
        <v>42962</v>
      </c>
      <c r="B227" s="23"/>
      <c r="C227" s="28">
        <f>ROUND(13.255,4)</f>
        <v>13.255</v>
      </c>
      <c r="D227" s="28">
        <f>F227</f>
        <v>13.2733</v>
      </c>
      <c r="E227" s="28">
        <f>F227</f>
        <v>13.2733</v>
      </c>
      <c r="F227" s="28">
        <f>ROUND(13.2733,4)</f>
        <v>13.2733</v>
      </c>
      <c r="G227" s="25"/>
      <c r="H227" s="26"/>
    </row>
    <row r="228" spans="1:8" ht="12.75" customHeight="1">
      <c r="A228" s="23">
        <v>42963</v>
      </c>
      <c r="B228" s="23"/>
      <c r="C228" s="28">
        <f>ROUND(13.255,4)</f>
        <v>13.255</v>
      </c>
      <c r="D228" s="28">
        <f>F228</f>
        <v>13.2757</v>
      </c>
      <c r="E228" s="28">
        <f>F228</f>
        <v>13.2757</v>
      </c>
      <c r="F228" s="28">
        <f>ROUND(13.2757,4)</f>
        <v>13.2757</v>
      </c>
      <c r="G228" s="25"/>
      <c r="H228" s="26"/>
    </row>
    <row r="229" spans="1:8" ht="12.75" customHeight="1">
      <c r="A229" s="23">
        <v>42964</v>
      </c>
      <c r="B229" s="23"/>
      <c r="C229" s="28">
        <f>ROUND(13.255,4)</f>
        <v>13.255</v>
      </c>
      <c r="D229" s="28">
        <f>F229</f>
        <v>13.2781</v>
      </c>
      <c r="E229" s="28">
        <f>F229</f>
        <v>13.2781</v>
      </c>
      <c r="F229" s="28">
        <f>ROUND(13.2781,4)</f>
        <v>13.2781</v>
      </c>
      <c r="G229" s="25"/>
      <c r="H229" s="26"/>
    </row>
    <row r="230" spans="1:8" ht="12.75" customHeight="1">
      <c r="A230" s="23">
        <v>42976</v>
      </c>
      <c r="B230" s="23"/>
      <c r="C230" s="28">
        <f>ROUND(13.255,4)</f>
        <v>13.255</v>
      </c>
      <c r="D230" s="28">
        <f>F230</f>
        <v>13.3073</v>
      </c>
      <c r="E230" s="28">
        <f>F230</f>
        <v>13.3073</v>
      </c>
      <c r="F230" s="28">
        <f>ROUND(13.3073,4)</f>
        <v>13.3073</v>
      </c>
      <c r="G230" s="25"/>
      <c r="H230" s="26"/>
    </row>
    <row r="231" spans="1:8" ht="12.75" customHeight="1">
      <c r="A231" s="23">
        <v>42977</v>
      </c>
      <c r="B231" s="23"/>
      <c r="C231" s="28">
        <f>ROUND(13.255,4)</f>
        <v>13.255</v>
      </c>
      <c r="D231" s="28">
        <f>F231</f>
        <v>13.3097</v>
      </c>
      <c r="E231" s="28">
        <f>F231</f>
        <v>13.3097</v>
      </c>
      <c r="F231" s="28">
        <f>ROUND(13.3097,4)</f>
        <v>13.3097</v>
      </c>
      <c r="G231" s="25"/>
      <c r="H231" s="26"/>
    </row>
    <row r="232" spans="1:8" ht="12.75" customHeight="1">
      <c r="A232" s="23">
        <v>42978</v>
      </c>
      <c r="B232" s="23"/>
      <c r="C232" s="28">
        <f>ROUND(13.255,4)</f>
        <v>13.255</v>
      </c>
      <c r="D232" s="28">
        <f>F232</f>
        <v>13.3121</v>
      </c>
      <c r="E232" s="28">
        <f>F232</f>
        <v>13.3121</v>
      </c>
      <c r="F232" s="28">
        <f>ROUND(13.3121,4)</f>
        <v>13.3121</v>
      </c>
      <c r="G232" s="25"/>
      <c r="H232" s="26"/>
    </row>
    <row r="233" spans="1:8" ht="12.75" customHeight="1">
      <c r="A233" s="23">
        <v>43005</v>
      </c>
      <c r="B233" s="23"/>
      <c r="C233" s="28">
        <f>ROUND(13.255,4)</f>
        <v>13.255</v>
      </c>
      <c r="D233" s="28">
        <f>F233</f>
        <v>13.3743</v>
      </c>
      <c r="E233" s="28">
        <f>F233</f>
        <v>13.3743</v>
      </c>
      <c r="F233" s="28">
        <f>ROUND(13.3743,4)</f>
        <v>13.3743</v>
      </c>
      <c r="G233" s="25"/>
      <c r="H233" s="26"/>
    </row>
    <row r="234" spans="1:8" ht="12.75" customHeight="1">
      <c r="A234" s="23">
        <v>43006</v>
      </c>
      <c r="B234" s="23"/>
      <c r="C234" s="28">
        <f>ROUND(13.255,4)</f>
        <v>13.255</v>
      </c>
      <c r="D234" s="28">
        <f>F234</f>
        <v>13.3765</v>
      </c>
      <c r="E234" s="28">
        <f>F234</f>
        <v>13.3765</v>
      </c>
      <c r="F234" s="28">
        <f>ROUND(13.3765,4)</f>
        <v>13.3765</v>
      </c>
      <c r="G234" s="25"/>
      <c r="H234" s="26"/>
    </row>
    <row r="235" spans="1:8" ht="12.75" customHeight="1">
      <c r="A235" s="23">
        <v>43007</v>
      </c>
      <c r="B235" s="23"/>
      <c r="C235" s="28">
        <f>ROUND(13.255,4)</f>
        <v>13.255</v>
      </c>
      <c r="D235" s="28">
        <f>F235</f>
        <v>13.3788</v>
      </c>
      <c r="E235" s="28">
        <f>F235</f>
        <v>13.3788</v>
      </c>
      <c r="F235" s="28">
        <f>ROUND(13.3788,4)</f>
        <v>13.3788</v>
      </c>
      <c r="G235" s="25"/>
      <c r="H235" s="26"/>
    </row>
    <row r="236" spans="1:8" ht="12.75" customHeight="1">
      <c r="A236" s="23">
        <v>43031</v>
      </c>
      <c r="B236" s="23"/>
      <c r="C236" s="28">
        <f>ROUND(13.255,4)</f>
        <v>13.255</v>
      </c>
      <c r="D236" s="28">
        <f>F236</f>
        <v>13.4298</v>
      </c>
      <c r="E236" s="28">
        <f>F236</f>
        <v>13.4298</v>
      </c>
      <c r="F236" s="28">
        <f>ROUND(13.4298,4)</f>
        <v>13.4298</v>
      </c>
      <c r="G236" s="25"/>
      <c r="H236" s="26"/>
    </row>
    <row r="237" spans="1:8" ht="12.75" customHeight="1">
      <c r="A237" s="23">
        <v>43035</v>
      </c>
      <c r="B237" s="23"/>
      <c r="C237" s="28">
        <f>ROUND(13.255,4)</f>
        <v>13.255</v>
      </c>
      <c r="D237" s="28">
        <f>F237</f>
        <v>13.4381</v>
      </c>
      <c r="E237" s="28">
        <f>F237</f>
        <v>13.4381</v>
      </c>
      <c r="F237" s="28">
        <f>ROUND(13.4381,4)</f>
        <v>13.4381</v>
      </c>
      <c r="G237" s="25"/>
      <c r="H237" s="26"/>
    </row>
    <row r="238" spans="1:8" ht="12.75" customHeight="1">
      <c r="A238" s="23">
        <v>43052</v>
      </c>
      <c r="B238" s="23"/>
      <c r="C238" s="28">
        <f>ROUND(13.255,4)</f>
        <v>13.255</v>
      </c>
      <c r="D238" s="28">
        <f>F238</f>
        <v>13.474</v>
      </c>
      <c r="E238" s="28">
        <f>F238</f>
        <v>13.474</v>
      </c>
      <c r="F238" s="28">
        <f>ROUND(13.474,4)</f>
        <v>13.474</v>
      </c>
      <c r="G238" s="25"/>
      <c r="H238" s="26"/>
    </row>
    <row r="239" spans="1:8" ht="12.75" customHeight="1">
      <c r="A239" s="23">
        <v>43067</v>
      </c>
      <c r="B239" s="23"/>
      <c r="C239" s="28">
        <f>ROUND(13.255,4)</f>
        <v>13.255</v>
      </c>
      <c r="D239" s="28">
        <f>F239</f>
        <v>13.5063</v>
      </c>
      <c r="E239" s="28">
        <f>F239</f>
        <v>13.5063</v>
      </c>
      <c r="F239" s="28">
        <f>ROUND(13.5063,4)</f>
        <v>13.5063</v>
      </c>
      <c r="G239" s="25"/>
      <c r="H239" s="26"/>
    </row>
    <row r="240" spans="1:8" ht="12.75" customHeight="1">
      <c r="A240" s="23">
        <v>43084</v>
      </c>
      <c r="B240" s="23"/>
      <c r="C240" s="28">
        <f>ROUND(13.255,4)</f>
        <v>13.255</v>
      </c>
      <c r="D240" s="28">
        <f>F240</f>
        <v>13.5429</v>
      </c>
      <c r="E240" s="28">
        <f>F240</f>
        <v>13.5429</v>
      </c>
      <c r="F240" s="28">
        <f>ROUND(13.5429,4)</f>
        <v>13.5429</v>
      </c>
      <c r="G240" s="25"/>
      <c r="H240" s="26"/>
    </row>
    <row r="241" spans="1:8" ht="12.75" customHeight="1">
      <c r="A241" s="23">
        <v>43091</v>
      </c>
      <c r="B241" s="23"/>
      <c r="C241" s="28">
        <f>ROUND(13.255,4)</f>
        <v>13.255</v>
      </c>
      <c r="D241" s="28">
        <f>F241</f>
        <v>13.5579</v>
      </c>
      <c r="E241" s="28">
        <f>F241</f>
        <v>13.5579</v>
      </c>
      <c r="F241" s="28">
        <f>ROUND(13.5579,4)</f>
        <v>13.5579</v>
      </c>
      <c r="G241" s="25"/>
      <c r="H241" s="26"/>
    </row>
    <row r="242" spans="1:8" ht="12.75" customHeight="1">
      <c r="A242" s="23">
        <v>43096</v>
      </c>
      <c r="B242" s="23"/>
      <c r="C242" s="28">
        <f>ROUND(13.255,4)</f>
        <v>13.255</v>
      </c>
      <c r="D242" s="28">
        <f>F242</f>
        <v>13.5687</v>
      </c>
      <c r="E242" s="28">
        <f>F242</f>
        <v>13.5687</v>
      </c>
      <c r="F242" s="28">
        <f>ROUND(13.5687,4)</f>
        <v>13.5687</v>
      </c>
      <c r="G242" s="25"/>
      <c r="H242" s="26"/>
    </row>
    <row r="243" spans="1:8" ht="12.75" customHeight="1">
      <c r="A243" s="23">
        <v>43102</v>
      </c>
      <c r="B243" s="23"/>
      <c r="C243" s="28">
        <f>ROUND(13.255,4)</f>
        <v>13.255</v>
      </c>
      <c r="D243" s="28">
        <f>F243</f>
        <v>13.5816</v>
      </c>
      <c r="E243" s="28">
        <f>F243</f>
        <v>13.5816</v>
      </c>
      <c r="F243" s="28">
        <f>ROUND(13.5816,4)</f>
        <v>13.5816</v>
      </c>
      <c r="G243" s="25"/>
      <c r="H243" s="26"/>
    </row>
    <row r="244" spans="1:8" ht="12.75" customHeight="1">
      <c r="A244" s="23">
        <v>43109</v>
      </c>
      <c r="B244" s="23"/>
      <c r="C244" s="28">
        <f>ROUND(13.255,4)</f>
        <v>13.255</v>
      </c>
      <c r="D244" s="28">
        <f>F244</f>
        <v>13.5967</v>
      </c>
      <c r="E244" s="28">
        <f>F244</f>
        <v>13.5967</v>
      </c>
      <c r="F244" s="28">
        <f>ROUND(13.5967,4)</f>
        <v>13.5967</v>
      </c>
      <c r="G244" s="25"/>
      <c r="H244" s="26"/>
    </row>
    <row r="245" spans="1:8" ht="12.75" customHeight="1">
      <c r="A245" s="23">
        <v>43131</v>
      </c>
      <c r="B245" s="23"/>
      <c r="C245" s="28">
        <f>ROUND(13.255,4)</f>
        <v>13.255</v>
      </c>
      <c r="D245" s="28">
        <f>F245</f>
        <v>13.644</v>
      </c>
      <c r="E245" s="28">
        <f>F245</f>
        <v>13.644</v>
      </c>
      <c r="F245" s="28">
        <f>ROUND(13.644,4)</f>
        <v>13.644</v>
      </c>
      <c r="G245" s="25"/>
      <c r="H245" s="26"/>
    </row>
    <row r="246" spans="1:8" ht="12.75" customHeight="1">
      <c r="A246" s="23">
        <v>43132</v>
      </c>
      <c r="B246" s="23"/>
      <c r="C246" s="28">
        <f>ROUND(13.255,4)</f>
        <v>13.255</v>
      </c>
      <c r="D246" s="28">
        <f>F246</f>
        <v>13.6461</v>
      </c>
      <c r="E246" s="28">
        <f>F246</f>
        <v>13.6461</v>
      </c>
      <c r="F246" s="28">
        <f>ROUND(13.6461,4)</f>
        <v>13.6461</v>
      </c>
      <c r="G246" s="25"/>
      <c r="H246" s="26"/>
    </row>
    <row r="247" spans="1:8" ht="12.75" customHeight="1">
      <c r="A247" s="23">
        <v>43144</v>
      </c>
      <c r="B247" s="23"/>
      <c r="C247" s="28">
        <f>ROUND(13.255,4)</f>
        <v>13.255</v>
      </c>
      <c r="D247" s="28">
        <f>F247</f>
        <v>13.6717</v>
      </c>
      <c r="E247" s="28">
        <f>F247</f>
        <v>13.6717</v>
      </c>
      <c r="F247" s="28">
        <f>ROUND(13.6717,4)</f>
        <v>13.6717</v>
      </c>
      <c r="G247" s="25"/>
      <c r="H247" s="26"/>
    </row>
    <row r="248" spans="1:8" ht="12.75" customHeight="1">
      <c r="A248" s="23">
        <v>43146</v>
      </c>
      <c r="B248" s="23"/>
      <c r="C248" s="28">
        <f>ROUND(13.255,4)</f>
        <v>13.255</v>
      </c>
      <c r="D248" s="28">
        <f>F248</f>
        <v>13.6759</v>
      </c>
      <c r="E248" s="28">
        <f>F248</f>
        <v>13.6759</v>
      </c>
      <c r="F248" s="28">
        <f>ROUND(13.6759,4)</f>
        <v>13.6759</v>
      </c>
      <c r="G248" s="25"/>
      <c r="H248" s="26"/>
    </row>
    <row r="249" spans="1:8" ht="12.75" customHeight="1">
      <c r="A249" s="23">
        <v>43215</v>
      </c>
      <c r="B249" s="23"/>
      <c r="C249" s="28">
        <f>ROUND(13.255,4)</f>
        <v>13.255</v>
      </c>
      <c r="D249" s="28">
        <f>F249</f>
        <v>13.8223</v>
      </c>
      <c r="E249" s="28">
        <f>F249</f>
        <v>13.8223</v>
      </c>
      <c r="F249" s="28">
        <f>ROUND(13.8223,4)</f>
        <v>13.8223</v>
      </c>
      <c r="G249" s="25"/>
      <c r="H249" s="26"/>
    </row>
    <row r="250" spans="1:8" ht="12.75" customHeight="1">
      <c r="A250" s="23">
        <v>43231</v>
      </c>
      <c r="B250" s="23"/>
      <c r="C250" s="28">
        <f>ROUND(13.255,4)</f>
        <v>13.255</v>
      </c>
      <c r="D250" s="28">
        <f>F250</f>
        <v>13.8558</v>
      </c>
      <c r="E250" s="28">
        <f>F250</f>
        <v>13.8558</v>
      </c>
      <c r="F250" s="28">
        <f>ROUND(13.8558,4)</f>
        <v>13.8558</v>
      </c>
      <c r="G250" s="25"/>
      <c r="H250" s="26"/>
    </row>
    <row r="251" spans="1:8" ht="12.75" customHeight="1">
      <c r="A251" s="23">
        <v>43235</v>
      </c>
      <c r="B251" s="23"/>
      <c r="C251" s="28">
        <f>ROUND(13.255,4)</f>
        <v>13.255</v>
      </c>
      <c r="D251" s="28">
        <f>F251</f>
        <v>13.8641</v>
      </c>
      <c r="E251" s="28">
        <f>F251</f>
        <v>13.8641</v>
      </c>
      <c r="F251" s="28">
        <f>ROUND(13.8641,4)</f>
        <v>13.8641</v>
      </c>
      <c r="G251" s="25"/>
      <c r="H251" s="26"/>
    </row>
    <row r="252" spans="1:8" ht="12.75" customHeight="1">
      <c r="A252" s="23">
        <v>43283</v>
      </c>
      <c r="B252" s="23"/>
      <c r="C252" s="28">
        <f>ROUND(13.255,4)</f>
        <v>13.255</v>
      </c>
      <c r="D252" s="28">
        <f>F252</f>
        <v>13.9633</v>
      </c>
      <c r="E252" s="28">
        <f>F252</f>
        <v>13.9633</v>
      </c>
      <c r="F252" s="28">
        <f>ROUND(13.9633,4)</f>
        <v>13.9633</v>
      </c>
      <c r="G252" s="25"/>
      <c r="H252" s="26"/>
    </row>
    <row r="253" spans="1:8" ht="12.75" customHeight="1">
      <c r="A253" s="23">
        <v>43325</v>
      </c>
      <c r="B253" s="23"/>
      <c r="C253" s="28">
        <f>ROUND(13.255,4)</f>
        <v>13.255</v>
      </c>
      <c r="D253" s="28">
        <f>F253</f>
        <v>14.0498</v>
      </c>
      <c r="E253" s="28">
        <f>F253</f>
        <v>14.0498</v>
      </c>
      <c r="F253" s="28">
        <f>ROUND(14.0498,4)</f>
        <v>14.0498</v>
      </c>
      <c r="G253" s="25"/>
      <c r="H253" s="26"/>
    </row>
    <row r="254" spans="1:8" ht="12.75" customHeight="1">
      <c r="A254" s="23">
        <v>43417</v>
      </c>
      <c r="B254" s="23"/>
      <c r="C254" s="28">
        <f>ROUND(13.255,4)</f>
        <v>13.255</v>
      </c>
      <c r="D254" s="28">
        <f>F254</f>
        <v>14.2358</v>
      </c>
      <c r="E254" s="28">
        <f>F254</f>
        <v>14.2358</v>
      </c>
      <c r="F254" s="28">
        <f>ROUND(14.2358,4)</f>
        <v>14.2358</v>
      </c>
      <c r="G254" s="25"/>
      <c r="H254" s="26"/>
    </row>
    <row r="255" spans="1:8" ht="12.75" customHeight="1">
      <c r="A255" s="23">
        <v>43509</v>
      </c>
      <c r="B255" s="23"/>
      <c r="C255" s="28">
        <f>ROUND(13.255,4)</f>
        <v>13.255</v>
      </c>
      <c r="D255" s="28">
        <f>F255</f>
        <v>14.4218</v>
      </c>
      <c r="E255" s="28">
        <f>F255</f>
        <v>14.4218</v>
      </c>
      <c r="F255" s="28">
        <f>ROUND(14.4218,4)</f>
        <v>14.4218</v>
      </c>
      <c r="G255" s="25"/>
      <c r="H255" s="26"/>
    </row>
    <row r="256" spans="1:8" ht="12.75" customHeight="1">
      <c r="A256" s="23">
        <v>44040</v>
      </c>
      <c r="B256" s="23"/>
      <c r="C256" s="28">
        <f>ROUND(13.255,4)</f>
        <v>13.255</v>
      </c>
      <c r="D256" s="28">
        <f>F256</f>
        <v>15.6499</v>
      </c>
      <c r="E256" s="28">
        <f>F256</f>
        <v>15.6499</v>
      </c>
      <c r="F256" s="28">
        <f>ROUND(15.6499,4)</f>
        <v>15.6499</v>
      </c>
      <c r="G256" s="25"/>
      <c r="H256" s="26"/>
    </row>
    <row r="257" spans="1:8" ht="12.75" customHeight="1">
      <c r="A257" s="23" t="s">
        <v>63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42996</v>
      </c>
      <c r="B258" s="23"/>
      <c r="C258" s="28">
        <f>ROUND(1.1851375,4)</f>
        <v>1.1851</v>
      </c>
      <c r="D258" s="28">
        <f>F258</f>
        <v>1.1879</v>
      </c>
      <c r="E258" s="28">
        <f>F258</f>
        <v>1.1879</v>
      </c>
      <c r="F258" s="28">
        <f>ROUND(1.1879,4)</f>
        <v>1.1879</v>
      </c>
      <c r="G258" s="25"/>
      <c r="H258" s="26"/>
    </row>
    <row r="259" spans="1:8" ht="12.75" customHeight="1">
      <c r="A259" s="23">
        <v>43087</v>
      </c>
      <c r="B259" s="23"/>
      <c r="C259" s="28">
        <f>ROUND(1.1851375,4)</f>
        <v>1.1851</v>
      </c>
      <c r="D259" s="28">
        <f>F259</f>
        <v>1.1939</v>
      </c>
      <c r="E259" s="28">
        <f>F259</f>
        <v>1.1939</v>
      </c>
      <c r="F259" s="28">
        <f>ROUND(1.1939,4)</f>
        <v>1.1939</v>
      </c>
      <c r="G259" s="25"/>
      <c r="H259" s="26"/>
    </row>
    <row r="260" spans="1:8" ht="12.75" customHeight="1">
      <c r="A260" s="23">
        <v>43178</v>
      </c>
      <c r="B260" s="23"/>
      <c r="C260" s="28">
        <f>ROUND(1.1851375,4)</f>
        <v>1.1851</v>
      </c>
      <c r="D260" s="28">
        <f>F260</f>
        <v>1.2</v>
      </c>
      <c r="E260" s="28">
        <f>F260</f>
        <v>1.2</v>
      </c>
      <c r="F260" s="28">
        <f>ROUND(1.2,4)</f>
        <v>1.2</v>
      </c>
      <c r="G260" s="25"/>
      <c r="H260" s="26"/>
    </row>
    <row r="261" spans="1:8" ht="12.75" customHeight="1">
      <c r="A261" s="23">
        <v>43269</v>
      </c>
      <c r="B261" s="23"/>
      <c r="C261" s="28">
        <f>ROUND(1.1851375,4)</f>
        <v>1.1851</v>
      </c>
      <c r="D261" s="28">
        <f>F261</f>
        <v>1.2063</v>
      </c>
      <c r="E261" s="28">
        <f>F261</f>
        <v>1.2063</v>
      </c>
      <c r="F261" s="28">
        <f>ROUND(1.2063,4)</f>
        <v>1.2063</v>
      </c>
      <c r="G261" s="25"/>
      <c r="H261" s="26"/>
    </row>
    <row r="262" spans="1:8" ht="12.75" customHeight="1">
      <c r="A262" s="23" t="s">
        <v>64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42996</v>
      </c>
      <c r="B263" s="23"/>
      <c r="C263" s="28">
        <f>ROUND(1.322075,4)</f>
        <v>1.3221</v>
      </c>
      <c r="D263" s="28">
        <f>F263</f>
        <v>1.324</v>
      </c>
      <c r="E263" s="28">
        <f>F263</f>
        <v>1.324</v>
      </c>
      <c r="F263" s="28">
        <f>ROUND(1.324,4)</f>
        <v>1.324</v>
      </c>
      <c r="G263" s="25"/>
      <c r="H263" s="26"/>
    </row>
    <row r="264" spans="1:8" ht="12.75" customHeight="1">
      <c r="A264" s="23">
        <v>43087</v>
      </c>
      <c r="B264" s="23"/>
      <c r="C264" s="28">
        <f>ROUND(1.322075,4)</f>
        <v>1.3221</v>
      </c>
      <c r="D264" s="28">
        <f>F264</f>
        <v>1.3278</v>
      </c>
      <c r="E264" s="28">
        <f>F264</f>
        <v>1.3278</v>
      </c>
      <c r="F264" s="28">
        <f>ROUND(1.3278,4)</f>
        <v>1.3278</v>
      </c>
      <c r="G264" s="25"/>
      <c r="H264" s="26"/>
    </row>
    <row r="265" spans="1:8" ht="12.75" customHeight="1">
      <c r="A265" s="23">
        <v>43178</v>
      </c>
      <c r="B265" s="23"/>
      <c r="C265" s="28">
        <f>ROUND(1.322075,4)</f>
        <v>1.3221</v>
      </c>
      <c r="D265" s="28">
        <f>F265</f>
        <v>1.3317</v>
      </c>
      <c r="E265" s="28">
        <f>F265</f>
        <v>1.3317</v>
      </c>
      <c r="F265" s="28">
        <f>ROUND(1.3317,4)</f>
        <v>1.3317</v>
      </c>
      <c r="G265" s="25"/>
      <c r="H265" s="26"/>
    </row>
    <row r="266" spans="1:8" ht="12.75" customHeight="1">
      <c r="A266" s="23">
        <v>43269</v>
      </c>
      <c r="B266" s="23"/>
      <c r="C266" s="28">
        <f>ROUND(1.322075,4)</f>
        <v>1.3221</v>
      </c>
      <c r="D266" s="28">
        <f>F266</f>
        <v>1.3354</v>
      </c>
      <c r="E266" s="28">
        <f>F266</f>
        <v>1.3354</v>
      </c>
      <c r="F266" s="28">
        <f>ROUND(1.3354,4)</f>
        <v>1.3354</v>
      </c>
      <c r="G266" s="25"/>
      <c r="H266" s="26"/>
    </row>
    <row r="267" spans="1:8" ht="12.75" customHeight="1">
      <c r="A267" s="23" t="s">
        <v>65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42996</v>
      </c>
      <c r="B268" s="23"/>
      <c r="C268" s="28">
        <f>ROUND(10.5653948125,4)</f>
        <v>10.5654</v>
      </c>
      <c r="D268" s="28">
        <f>F268</f>
        <v>10.6382</v>
      </c>
      <c r="E268" s="28">
        <f>F268</f>
        <v>10.6382</v>
      </c>
      <c r="F268" s="28">
        <f>ROUND(10.6382,4)</f>
        <v>10.6382</v>
      </c>
      <c r="G268" s="25"/>
      <c r="H268" s="26"/>
    </row>
    <row r="269" spans="1:8" ht="12.75" customHeight="1">
      <c r="A269" s="23">
        <v>43087</v>
      </c>
      <c r="B269" s="23"/>
      <c r="C269" s="28">
        <f>ROUND(10.5653948125,4)</f>
        <v>10.5654</v>
      </c>
      <c r="D269" s="28">
        <f>F269</f>
        <v>10.7816</v>
      </c>
      <c r="E269" s="28">
        <f>F269</f>
        <v>10.7816</v>
      </c>
      <c r="F269" s="28">
        <f>ROUND(10.7816,4)</f>
        <v>10.7816</v>
      </c>
      <c r="G269" s="25"/>
      <c r="H269" s="26"/>
    </row>
    <row r="270" spans="1:8" ht="12.75" customHeight="1">
      <c r="A270" s="23">
        <v>43178</v>
      </c>
      <c r="B270" s="23"/>
      <c r="C270" s="28">
        <f>ROUND(10.5653948125,4)</f>
        <v>10.5654</v>
      </c>
      <c r="D270" s="28">
        <f>F270</f>
        <v>10.9249</v>
      </c>
      <c r="E270" s="28">
        <f>F270</f>
        <v>10.9249</v>
      </c>
      <c r="F270" s="28">
        <f>ROUND(10.9249,4)</f>
        <v>10.9249</v>
      </c>
      <c r="G270" s="25"/>
      <c r="H270" s="26"/>
    </row>
    <row r="271" spans="1:8" ht="12.75" customHeight="1">
      <c r="A271" s="23">
        <v>43269</v>
      </c>
      <c r="B271" s="23"/>
      <c r="C271" s="28">
        <f>ROUND(10.5653948125,4)</f>
        <v>10.5654</v>
      </c>
      <c r="D271" s="28">
        <f>F271</f>
        <v>11.065</v>
      </c>
      <c r="E271" s="28">
        <f>F271</f>
        <v>11.065</v>
      </c>
      <c r="F271" s="28">
        <f>ROUND(11.065,4)</f>
        <v>11.065</v>
      </c>
      <c r="G271" s="25"/>
      <c r="H271" s="26"/>
    </row>
    <row r="272" spans="1:8" ht="12.75" customHeight="1">
      <c r="A272" s="23">
        <v>43360</v>
      </c>
      <c r="B272" s="23"/>
      <c r="C272" s="28">
        <f>ROUND(10.5653948125,4)</f>
        <v>10.5654</v>
      </c>
      <c r="D272" s="28">
        <f>F272</f>
        <v>11.2007</v>
      </c>
      <c r="E272" s="28">
        <f>F272</f>
        <v>11.2007</v>
      </c>
      <c r="F272" s="28">
        <f>ROUND(11.2007,4)</f>
        <v>11.2007</v>
      </c>
      <c r="G272" s="25"/>
      <c r="H272" s="26"/>
    </row>
    <row r="273" spans="1:8" ht="12.75" customHeight="1">
      <c r="A273" s="23">
        <v>43448</v>
      </c>
      <c r="B273" s="23"/>
      <c r="C273" s="28">
        <f>ROUND(10.5653948125,4)</f>
        <v>10.5654</v>
      </c>
      <c r="D273" s="28">
        <f>F273</f>
        <v>11.3294</v>
      </c>
      <c r="E273" s="28">
        <f>F273</f>
        <v>11.3294</v>
      </c>
      <c r="F273" s="28">
        <f>ROUND(11.3294,4)</f>
        <v>11.3294</v>
      </c>
      <c r="G273" s="25"/>
      <c r="H273" s="26"/>
    </row>
    <row r="274" spans="1:8" ht="12.75" customHeight="1">
      <c r="A274" s="23">
        <v>43542</v>
      </c>
      <c r="B274" s="23"/>
      <c r="C274" s="28">
        <f>ROUND(10.5653948125,4)</f>
        <v>10.5654</v>
      </c>
      <c r="D274" s="28">
        <f>F274</f>
        <v>11.4656</v>
      </c>
      <c r="E274" s="28">
        <f>F274</f>
        <v>11.4656</v>
      </c>
      <c r="F274" s="28">
        <f>ROUND(11.4656,4)</f>
        <v>11.4656</v>
      </c>
      <c r="G274" s="25"/>
      <c r="H274" s="26"/>
    </row>
    <row r="275" spans="1:8" ht="12.75" customHeight="1">
      <c r="A275" s="23">
        <v>43630</v>
      </c>
      <c r="B275" s="23"/>
      <c r="C275" s="28">
        <f>ROUND(10.5653948125,4)</f>
        <v>10.5654</v>
      </c>
      <c r="D275" s="28">
        <f>F275</f>
        <v>11.5919</v>
      </c>
      <c r="E275" s="28">
        <f>F275</f>
        <v>11.5919</v>
      </c>
      <c r="F275" s="28">
        <f>ROUND(11.5919,4)</f>
        <v>11.5919</v>
      </c>
      <c r="G275" s="25"/>
      <c r="H275" s="26"/>
    </row>
    <row r="276" spans="1:8" ht="12.75" customHeight="1">
      <c r="A276" s="23" t="s">
        <v>66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ROUND(3.60866842721407,4)</f>
        <v>3.6087</v>
      </c>
      <c r="D277" s="28">
        <f>F277</f>
        <v>3.9445</v>
      </c>
      <c r="E277" s="28">
        <f>F277</f>
        <v>3.9445</v>
      </c>
      <c r="F277" s="28">
        <f>ROUND(3.9445,4)</f>
        <v>3.9445</v>
      </c>
      <c r="G277" s="25"/>
      <c r="H277" s="26"/>
    </row>
    <row r="278" spans="1:8" ht="12.75" customHeight="1">
      <c r="A278" s="23">
        <v>43087</v>
      </c>
      <c r="B278" s="23"/>
      <c r="C278" s="28">
        <f>ROUND(3.60866842721407,4)</f>
        <v>3.6087</v>
      </c>
      <c r="D278" s="28">
        <f>F278</f>
        <v>3.9929</v>
      </c>
      <c r="E278" s="28">
        <f>F278</f>
        <v>3.9929</v>
      </c>
      <c r="F278" s="28">
        <f>ROUND(3.9929,4)</f>
        <v>3.9929</v>
      </c>
      <c r="G278" s="25"/>
      <c r="H278" s="26"/>
    </row>
    <row r="279" spans="1:8" ht="12.75" customHeight="1">
      <c r="A279" s="23">
        <v>43178</v>
      </c>
      <c r="B279" s="23"/>
      <c r="C279" s="28">
        <f>ROUND(3.60866842721407,4)</f>
        <v>3.6087</v>
      </c>
      <c r="D279" s="28">
        <f>F279</f>
        <v>4.0496</v>
      </c>
      <c r="E279" s="28">
        <f>F279</f>
        <v>4.0496</v>
      </c>
      <c r="F279" s="28">
        <f>ROUND(4.0496,4)</f>
        <v>4.0496</v>
      </c>
      <c r="G279" s="25"/>
      <c r="H279" s="26"/>
    </row>
    <row r="280" spans="1:8" ht="12.75" customHeight="1">
      <c r="A280" s="23" t="s">
        <v>67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42996</v>
      </c>
      <c r="B281" s="23"/>
      <c r="C281" s="28">
        <f>ROUND(1.2950135,4)</f>
        <v>1.295</v>
      </c>
      <c r="D281" s="28">
        <f>F281</f>
        <v>1.3021</v>
      </c>
      <c r="E281" s="28">
        <f>F281</f>
        <v>1.3021</v>
      </c>
      <c r="F281" s="28">
        <f>ROUND(1.3021,4)</f>
        <v>1.3021</v>
      </c>
      <c r="G281" s="25"/>
      <c r="H281" s="26"/>
    </row>
    <row r="282" spans="1:8" ht="12.75" customHeight="1">
      <c r="A282" s="23">
        <v>43087</v>
      </c>
      <c r="B282" s="23"/>
      <c r="C282" s="28">
        <f>ROUND(1.2950135,4)</f>
        <v>1.295</v>
      </c>
      <c r="D282" s="28">
        <f>F282</f>
        <v>1.3131</v>
      </c>
      <c r="E282" s="28">
        <f>F282</f>
        <v>1.3131</v>
      </c>
      <c r="F282" s="28">
        <f>ROUND(1.3131,4)</f>
        <v>1.3131</v>
      </c>
      <c r="G282" s="25"/>
      <c r="H282" s="26"/>
    </row>
    <row r="283" spans="1:8" ht="12.75" customHeight="1">
      <c r="A283" s="23">
        <v>43178</v>
      </c>
      <c r="B283" s="23"/>
      <c r="C283" s="28">
        <f>ROUND(1.2950135,4)</f>
        <v>1.295</v>
      </c>
      <c r="D283" s="28">
        <f>F283</f>
        <v>1.3275</v>
      </c>
      <c r="E283" s="28">
        <f>F283</f>
        <v>1.3275</v>
      </c>
      <c r="F283" s="28">
        <f>ROUND(1.3275,4)</f>
        <v>1.3275</v>
      </c>
      <c r="G283" s="25"/>
      <c r="H283" s="26"/>
    </row>
    <row r="284" spans="1:8" ht="12.75" customHeight="1">
      <c r="A284" s="23">
        <v>43269</v>
      </c>
      <c r="B284" s="23"/>
      <c r="C284" s="28">
        <f>ROUND(1.2950135,4)</f>
        <v>1.295</v>
      </c>
      <c r="D284" s="28">
        <f>F284</f>
        <v>1.3384</v>
      </c>
      <c r="E284" s="28">
        <f>F284</f>
        <v>1.3384</v>
      </c>
      <c r="F284" s="28">
        <f>ROUND(1.3384,4)</f>
        <v>1.3384</v>
      </c>
      <c r="G284" s="25"/>
      <c r="H284" s="26"/>
    </row>
    <row r="285" spans="1:8" ht="12.75" customHeight="1">
      <c r="A285" s="23">
        <v>43630</v>
      </c>
      <c r="B285" s="23"/>
      <c r="C285" s="28">
        <f>ROUND(1.2950135,4)</f>
        <v>1.295</v>
      </c>
      <c r="D285" s="28">
        <f>F285</f>
        <v>1.3584</v>
      </c>
      <c r="E285" s="28">
        <f>F285</f>
        <v>1.3584</v>
      </c>
      <c r="F285" s="28">
        <f>ROUND(1.3584,4)</f>
        <v>1.3584</v>
      </c>
      <c r="G285" s="25"/>
      <c r="H285" s="26"/>
    </row>
    <row r="286" spans="1:8" ht="12.75" customHeight="1">
      <c r="A286" s="23" t="s">
        <v>68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42996</v>
      </c>
      <c r="B287" s="23"/>
      <c r="C287" s="28">
        <f>ROUND(10.5403363683353,4)</f>
        <v>10.5403</v>
      </c>
      <c r="D287" s="28">
        <f>F287</f>
        <v>10.626</v>
      </c>
      <c r="E287" s="28">
        <f>F287</f>
        <v>10.626</v>
      </c>
      <c r="F287" s="28">
        <f>ROUND(10.626,4)</f>
        <v>10.626</v>
      </c>
      <c r="G287" s="25"/>
      <c r="H287" s="26"/>
    </row>
    <row r="288" spans="1:8" ht="12.75" customHeight="1">
      <c r="A288" s="23">
        <v>43087</v>
      </c>
      <c r="B288" s="23"/>
      <c r="C288" s="28">
        <f>ROUND(10.5403363683353,4)</f>
        <v>10.5403</v>
      </c>
      <c r="D288" s="28">
        <f>F288</f>
        <v>10.7908</v>
      </c>
      <c r="E288" s="28">
        <f>F288</f>
        <v>10.7908</v>
      </c>
      <c r="F288" s="28">
        <f>ROUND(10.7908,4)</f>
        <v>10.7908</v>
      </c>
      <c r="G288" s="25"/>
      <c r="H288" s="26"/>
    </row>
    <row r="289" spans="1:8" ht="12.75" customHeight="1">
      <c r="A289" s="23">
        <v>43178</v>
      </c>
      <c r="B289" s="23"/>
      <c r="C289" s="28">
        <f>ROUND(10.5403363683353,4)</f>
        <v>10.5403</v>
      </c>
      <c r="D289" s="28">
        <f>F289</f>
        <v>10.9526</v>
      </c>
      <c r="E289" s="28">
        <f>F289</f>
        <v>10.9526</v>
      </c>
      <c r="F289" s="28">
        <f>ROUND(10.9526,4)</f>
        <v>10.9526</v>
      </c>
      <c r="G289" s="25"/>
      <c r="H289" s="26"/>
    </row>
    <row r="290" spans="1:8" ht="12.75" customHeight="1">
      <c r="A290" s="23">
        <v>43269</v>
      </c>
      <c r="B290" s="23"/>
      <c r="C290" s="28">
        <f>ROUND(10.5403363683353,4)</f>
        <v>10.5403</v>
      </c>
      <c r="D290" s="28">
        <f>F290</f>
        <v>10.9578</v>
      </c>
      <c r="E290" s="28">
        <f>F290</f>
        <v>10.9578</v>
      </c>
      <c r="F290" s="28">
        <v>10.9578</v>
      </c>
      <c r="G290" s="25"/>
      <c r="H290" s="26"/>
    </row>
    <row r="291" spans="1:8" ht="12.75" customHeight="1">
      <c r="A291" s="23" t="s">
        <v>69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42996</v>
      </c>
      <c r="B292" s="23"/>
      <c r="C292" s="28">
        <f>ROUND(1.98514906679947,4)</f>
        <v>1.9851</v>
      </c>
      <c r="D292" s="28">
        <f>F292</f>
        <v>1.9808</v>
      </c>
      <c r="E292" s="28">
        <f>F292</f>
        <v>1.9808</v>
      </c>
      <c r="F292" s="28">
        <f>ROUND(1.9808,4)</f>
        <v>1.9808</v>
      </c>
      <c r="G292" s="25"/>
      <c r="H292" s="26"/>
    </row>
    <row r="293" spans="1:8" ht="12.75" customHeight="1">
      <c r="A293" s="23">
        <v>43087</v>
      </c>
      <c r="B293" s="23"/>
      <c r="C293" s="28">
        <f>ROUND(1.98514906679947,4)</f>
        <v>1.9851</v>
      </c>
      <c r="D293" s="28">
        <f>F293</f>
        <v>1.9997</v>
      </c>
      <c r="E293" s="28">
        <f>F293</f>
        <v>1.9997</v>
      </c>
      <c r="F293" s="28">
        <f>ROUND(1.9997,4)</f>
        <v>1.9997</v>
      </c>
      <c r="G293" s="25"/>
      <c r="H293" s="26"/>
    </row>
    <row r="294" spans="1:8" ht="12.75" customHeight="1">
      <c r="A294" s="23">
        <v>43178</v>
      </c>
      <c r="B294" s="23"/>
      <c r="C294" s="28">
        <f>ROUND(1.98514906679947,4)</f>
        <v>1.9851</v>
      </c>
      <c r="D294" s="28">
        <f>F294</f>
        <v>2.0174</v>
      </c>
      <c r="E294" s="28">
        <f>F294</f>
        <v>2.0174</v>
      </c>
      <c r="F294" s="28">
        <f>ROUND(2.0174,4)</f>
        <v>2.0174</v>
      </c>
      <c r="G294" s="25"/>
      <c r="H294" s="26"/>
    </row>
    <row r="295" spans="1:8" ht="12.75" customHeight="1">
      <c r="A295" s="23">
        <v>43269</v>
      </c>
      <c r="B295" s="23"/>
      <c r="C295" s="28">
        <f>ROUND(1.98514906679947,4)</f>
        <v>1.9851</v>
      </c>
      <c r="D295" s="28">
        <f>F295</f>
        <v>2.0342</v>
      </c>
      <c r="E295" s="28">
        <f>F295</f>
        <v>2.0342</v>
      </c>
      <c r="F295" s="28">
        <f>ROUND(2.0342,4)</f>
        <v>2.0342</v>
      </c>
      <c r="G295" s="25"/>
      <c r="H295" s="26"/>
    </row>
    <row r="296" spans="1:8" ht="12.75" customHeight="1">
      <c r="A296" s="23">
        <v>43630</v>
      </c>
      <c r="B296" s="23"/>
      <c r="C296" s="28">
        <f>ROUND(1.98514906679947,4)</f>
        <v>1.9851</v>
      </c>
      <c r="D296" s="28">
        <f>F296</f>
        <v>2.0178</v>
      </c>
      <c r="E296" s="28">
        <f>F296</f>
        <v>2.0178</v>
      </c>
      <c r="F296" s="28">
        <f>ROUND(2.0178,4)</f>
        <v>2.0178</v>
      </c>
      <c r="G296" s="25"/>
      <c r="H296" s="26"/>
    </row>
    <row r="297" spans="1:8" ht="12.75" customHeight="1">
      <c r="A297" s="23" t="s">
        <v>70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ROUND(2.11246842453364,4)</f>
        <v>2.1125</v>
      </c>
      <c r="D298" s="28">
        <f>F298</f>
        <v>2.1341</v>
      </c>
      <c r="E298" s="28">
        <f>F298</f>
        <v>2.1341</v>
      </c>
      <c r="F298" s="28">
        <f>ROUND(2.1341,4)</f>
        <v>2.1341</v>
      </c>
      <c r="G298" s="25"/>
      <c r="H298" s="26"/>
    </row>
    <row r="299" spans="1:8" ht="12.75" customHeight="1">
      <c r="A299" s="23">
        <v>43087</v>
      </c>
      <c r="B299" s="23"/>
      <c r="C299" s="28">
        <f>ROUND(2.11246842453364,4)</f>
        <v>2.1125</v>
      </c>
      <c r="D299" s="28">
        <f>F299</f>
        <v>2.1767</v>
      </c>
      <c r="E299" s="28">
        <f>F299</f>
        <v>2.1767</v>
      </c>
      <c r="F299" s="28">
        <f>ROUND(2.1767,4)</f>
        <v>2.1767</v>
      </c>
      <c r="G299" s="25"/>
      <c r="H299" s="26"/>
    </row>
    <row r="300" spans="1:8" ht="12.75" customHeight="1">
      <c r="A300" s="23">
        <v>43178</v>
      </c>
      <c r="B300" s="23"/>
      <c r="C300" s="28">
        <f>ROUND(2.11246842453364,4)</f>
        <v>2.1125</v>
      </c>
      <c r="D300" s="28">
        <f>F300</f>
        <v>2.2197</v>
      </c>
      <c r="E300" s="28">
        <f>F300</f>
        <v>2.2197</v>
      </c>
      <c r="F300" s="28">
        <f>ROUND(2.2197,4)</f>
        <v>2.2197</v>
      </c>
      <c r="G300" s="25"/>
      <c r="H300" s="26"/>
    </row>
    <row r="301" spans="1:8" ht="12.75" customHeight="1">
      <c r="A301" s="23">
        <v>43269</v>
      </c>
      <c r="B301" s="23"/>
      <c r="C301" s="28">
        <f>ROUND(2.11246842453364,4)</f>
        <v>2.1125</v>
      </c>
      <c r="D301" s="28">
        <f>F301</f>
        <v>2.2632</v>
      </c>
      <c r="E301" s="28">
        <f>F301</f>
        <v>2.2632</v>
      </c>
      <c r="F301" s="28">
        <f>ROUND(2.2632,4)</f>
        <v>2.2632</v>
      </c>
      <c r="G301" s="25"/>
      <c r="H301" s="26"/>
    </row>
    <row r="302" spans="1:8" ht="12.75" customHeight="1">
      <c r="A302" s="23">
        <v>43630</v>
      </c>
      <c r="B302" s="23"/>
      <c r="C302" s="28">
        <f>ROUND(2.11246842453364,4)</f>
        <v>2.1125</v>
      </c>
      <c r="D302" s="28">
        <f>F302</f>
        <v>2.4466</v>
      </c>
      <c r="E302" s="28">
        <f>F302</f>
        <v>2.4466</v>
      </c>
      <c r="F302" s="28">
        <f>ROUND(2.4466,4)</f>
        <v>2.4466</v>
      </c>
      <c r="G302" s="25"/>
      <c r="H302" s="26"/>
    </row>
    <row r="303" spans="1:8" ht="12.75" customHeight="1">
      <c r="A303" s="23" t="s">
        <v>71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42996</v>
      </c>
      <c r="B304" s="23"/>
      <c r="C304" s="28">
        <f>ROUND(15.7089975625,4)</f>
        <v>15.709</v>
      </c>
      <c r="D304" s="28">
        <f>F304</f>
        <v>15.8636</v>
      </c>
      <c r="E304" s="28">
        <f>F304</f>
        <v>15.8636</v>
      </c>
      <c r="F304" s="28">
        <f>ROUND(15.8636,4)</f>
        <v>15.8636</v>
      </c>
      <c r="G304" s="25"/>
      <c r="H304" s="26"/>
    </row>
    <row r="305" spans="1:8" ht="12.75" customHeight="1">
      <c r="A305" s="23">
        <v>43087</v>
      </c>
      <c r="B305" s="23"/>
      <c r="C305" s="28">
        <f>ROUND(15.7089975625,4)</f>
        <v>15.709</v>
      </c>
      <c r="D305" s="28">
        <f>F305</f>
        <v>16.1758</v>
      </c>
      <c r="E305" s="28">
        <f>F305</f>
        <v>16.1758</v>
      </c>
      <c r="F305" s="28">
        <f>ROUND(16.1758,4)</f>
        <v>16.1758</v>
      </c>
      <c r="G305" s="25"/>
      <c r="H305" s="26"/>
    </row>
    <row r="306" spans="1:8" ht="12.75" customHeight="1">
      <c r="A306" s="23">
        <v>43178</v>
      </c>
      <c r="B306" s="23"/>
      <c r="C306" s="28">
        <f>ROUND(15.7089975625,4)</f>
        <v>15.709</v>
      </c>
      <c r="D306" s="28">
        <f>F306</f>
        <v>16.4929</v>
      </c>
      <c r="E306" s="28">
        <f>F306</f>
        <v>16.4929</v>
      </c>
      <c r="F306" s="28">
        <f>ROUND(16.4929,4)</f>
        <v>16.4929</v>
      </c>
      <c r="G306" s="25"/>
      <c r="H306" s="26"/>
    </row>
    <row r="307" spans="1:8" ht="12.75" customHeight="1">
      <c r="A307" s="23">
        <v>43269</v>
      </c>
      <c r="B307" s="23"/>
      <c r="C307" s="28">
        <f>ROUND(15.7089975625,4)</f>
        <v>15.709</v>
      </c>
      <c r="D307" s="28">
        <f>F307</f>
        <v>16.8094</v>
      </c>
      <c r="E307" s="28">
        <f>F307</f>
        <v>16.8094</v>
      </c>
      <c r="F307" s="28">
        <f>ROUND(16.8094,4)</f>
        <v>16.8094</v>
      </c>
      <c r="G307" s="25"/>
      <c r="H307" s="26"/>
    </row>
    <row r="308" spans="1:8" ht="12.75" customHeight="1">
      <c r="A308" s="23">
        <v>43360</v>
      </c>
      <c r="B308" s="23"/>
      <c r="C308" s="28">
        <f>ROUND(15.7089975625,4)</f>
        <v>15.709</v>
      </c>
      <c r="D308" s="28">
        <f>F308</f>
        <v>17.1048</v>
      </c>
      <c r="E308" s="28">
        <f>F308</f>
        <v>17.1048</v>
      </c>
      <c r="F308" s="28">
        <f>ROUND(17.1048,4)</f>
        <v>17.1048</v>
      </c>
      <c r="G308" s="25"/>
      <c r="H308" s="26"/>
    </row>
    <row r="309" spans="1:8" ht="12.75" customHeight="1">
      <c r="A309" s="23">
        <v>43448</v>
      </c>
      <c r="B309" s="23"/>
      <c r="C309" s="28">
        <f>ROUND(15.7089975625,4)</f>
        <v>15.709</v>
      </c>
      <c r="D309" s="28">
        <f>F309</f>
        <v>17.4059</v>
      </c>
      <c r="E309" s="28">
        <f>F309</f>
        <v>17.4059</v>
      </c>
      <c r="F309" s="28">
        <f>ROUND(17.4059,4)</f>
        <v>17.4059</v>
      </c>
      <c r="G309" s="25"/>
      <c r="H309" s="26"/>
    </row>
    <row r="310" spans="1:8" ht="12.75" customHeight="1">
      <c r="A310" s="23">
        <v>43542</v>
      </c>
      <c r="B310" s="23"/>
      <c r="C310" s="28">
        <f>ROUND(15.7089975625,4)</f>
        <v>15.709</v>
      </c>
      <c r="D310" s="28">
        <f>F310</f>
        <v>17.7844</v>
      </c>
      <c r="E310" s="28">
        <f>F310</f>
        <v>17.7844</v>
      </c>
      <c r="F310" s="28">
        <f>ROUND(17.7844,4)</f>
        <v>17.7844</v>
      </c>
      <c r="G310" s="25"/>
      <c r="H310" s="26"/>
    </row>
    <row r="311" spans="1:8" ht="12.75" customHeight="1">
      <c r="A311" s="23">
        <v>43630</v>
      </c>
      <c r="B311" s="23"/>
      <c r="C311" s="28">
        <f>ROUND(15.7089975625,4)</f>
        <v>15.709</v>
      </c>
      <c r="D311" s="28">
        <f>F311</f>
        <v>18.1423</v>
      </c>
      <c r="E311" s="28">
        <f>F311</f>
        <v>18.1423</v>
      </c>
      <c r="F311" s="28">
        <f>ROUND(18.1423,4)</f>
        <v>18.1423</v>
      </c>
      <c r="G311" s="25"/>
      <c r="H311" s="26"/>
    </row>
    <row r="312" spans="1:8" ht="12.75" customHeight="1">
      <c r="A312" s="23" t="s">
        <v>72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42996</v>
      </c>
      <c r="B313" s="23"/>
      <c r="C313" s="28">
        <f>ROUND(13.7002583979328,4)</f>
        <v>13.7003</v>
      </c>
      <c r="D313" s="28">
        <f>F313</f>
        <v>13.8415</v>
      </c>
      <c r="E313" s="28">
        <f>F313</f>
        <v>13.8415</v>
      </c>
      <c r="F313" s="28">
        <f>ROUND(13.8415,4)</f>
        <v>13.8415</v>
      </c>
      <c r="G313" s="25"/>
      <c r="H313" s="26"/>
    </row>
    <row r="314" spans="1:8" ht="12.75" customHeight="1">
      <c r="A314" s="23">
        <v>43087</v>
      </c>
      <c r="B314" s="23"/>
      <c r="C314" s="28">
        <f>ROUND(13.7002583979328,4)</f>
        <v>13.7003</v>
      </c>
      <c r="D314" s="28">
        <f>F314</f>
        <v>14.1282</v>
      </c>
      <c r="E314" s="28">
        <f>F314</f>
        <v>14.1282</v>
      </c>
      <c r="F314" s="28">
        <f>ROUND(14.1282,4)</f>
        <v>14.1282</v>
      </c>
      <c r="G314" s="25"/>
      <c r="H314" s="26"/>
    </row>
    <row r="315" spans="1:8" ht="12.75" customHeight="1">
      <c r="A315" s="23">
        <v>43178</v>
      </c>
      <c r="B315" s="23"/>
      <c r="C315" s="28">
        <f>ROUND(13.7002583979328,4)</f>
        <v>13.7003</v>
      </c>
      <c r="D315" s="28">
        <f>F315</f>
        <v>14.4206</v>
      </c>
      <c r="E315" s="28">
        <f>F315</f>
        <v>14.4206</v>
      </c>
      <c r="F315" s="28">
        <f>ROUND(14.4206,4)</f>
        <v>14.4206</v>
      </c>
      <c r="G315" s="25"/>
      <c r="H315" s="26"/>
    </row>
    <row r="316" spans="1:8" ht="12.75" customHeight="1">
      <c r="A316" s="23">
        <v>43269</v>
      </c>
      <c r="B316" s="23"/>
      <c r="C316" s="28">
        <f>ROUND(13.7002583979328,4)</f>
        <v>13.7003</v>
      </c>
      <c r="D316" s="28">
        <f>F316</f>
        <v>14.7118</v>
      </c>
      <c r="E316" s="28">
        <f>F316</f>
        <v>14.7118</v>
      </c>
      <c r="F316" s="28">
        <f>ROUND(14.7118,4)</f>
        <v>14.7118</v>
      </c>
      <c r="G316" s="25"/>
      <c r="H316" s="26"/>
    </row>
    <row r="317" spans="1:8" ht="12.75" customHeight="1">
      <c r="A317" s="23">
        <v>43360</v>
      </c>
      <c r="B317" s="23"/>
      <c r="C317" s="28">
        <f>ROUND(13.7002583979328,4)</f>
        <v>13.7003</v>
      </c>
      <c r="D317" s="28">
        <f>F317</f>
        <v>14.9812</v>
      </c>
      <c r="E317" s="28">
        <f>F317</f>
        <v>14.9812</v>
      </c>
      <c r="F317" s="28">
        <f>ROUND(14.9812,4)</f>
        <v>14.9812</v>
      </c>
      <c r="G317" s="25"/>
      <c r="H317" s="26"/>
    </row>
    <row r="318" spans="1:8" ht="12.75" customHeight="1">
      <c r="A318" s="23">
        <v>43630</v>
      </c>
      <c r="B318" s="23"/>
      <c r="C318" s="28">
        <f>ROUND(13.7002583979328,4)</f>
        <v>13.7003</v>
      </c>
      <c r="D318" s="28">
        <f>F318</f>
        <v>15.7022</v>
      </c>
      <c r="E318" s="28">
        <f>F318</f>
        <v>15.7022</v>
      </c>
      <c r="F318" s="28">
        <f>ROUND(15.7022,4)</f>
        <v>15.7022</v>
      </c>
      <c r="G318" s="25"/>
      <c r="H318" s="26"/>
    </row>
    <row r="319" spans="1:8" ht="12.75" customHeight="1">
      <c r="A319" s="23" t="s">
        <v>73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42996</v>
      </c>
      <c r="B320" s="23"/>
      <c r="C320" s="28">
        <f>ROUND(17.524104125,4)</f>
        <v>17.5241</v>
      </c>
      <c r="D320" s="28">
        <f>F320</f>
        <v>17.6807</v>
      </c>
      <c r="E320" s="28">
        <f>F320</f>
        <v>17.6807</v>
      </c>
      <c r="F320" s="28">
        <f>ROUND(17.6807,4)</f>
        <v>17.6807</v>
      </c>
      <c r="G320" s="25"/>
      <c r="H320" s="26"/>
    </row>
    <row r="321" spans="1:8" ht="12.75" customHeight="1">
      <c r="A321" s="23">
        <v>43087</v>
      </c>
      <c r="B321" s="23"/>
      <c r="C321" s="28">
        <f>ROUND(17.524104125,4)</f>
        <v>17.5241</v>
      </c>
      <c r="D321" s="28">
        <f>F321</f>
        <v>17.9914</v>
      </c>
      <c r="E321" s="28">
        <f>F321</f>
        <v>17.9914</v>
      </c>
      <c r="F321" s="28">
        <f>ROUND(17.9914,4)</f>
        <v>17.9914</v>
      </c>
      <c r="G321" s="25"/>
      <c r="H321" s="26"/>
    </row>
    <row r="322" spans="1:8" ht="12.75" customHeight="1">
      <c r="A322" s="23">
        <v>43178</v>
      </c>
      <c r="B322" s="23"/>
      <c r="C322" s="28">
        <f>ROUND(17.524104125,4)</f>
        <v>17.5241</v>
      </c>
      <c r="D322" s="28">
        <f>F322</f>
        <v>18.3021</v>
      </c>
      <c r="E322" s="28">
        <f>F322</f>
        <v>18.3021</v>
      </c>
      <c r="F322" s="28">
        <f>ROUND(18.3021,4)</f>
        <v>18.3021</v>
      </c>
      <c r="G322" s="25"/>
      <c r="H322" s="26"/>
    </row>
    <row r="323" spans="1:8" ht="12.75" customHeight="1">
      <c r="A323" s="23">
        <v>43269</v>
      </c>
      <c r="B323" s="23"/>
      <c r="C323" s="28">
        <f>ROUND(17.524104125,4)</f>
        <v>17.5241</v>
      </c>
      <c r="D323" s="28">
        <f>F323</f>
        <v>18.6084</v>
      </c>
      <c r="E323" s="28">
        <f>F323</f>
        <v>18.6084</v>
      </c>
      <c r="F323" s="28">
        <f>ROUND(18.6084,4)</f>
        <v>18.6084</v>
      </c>
      <c r="G323" s="25"/>
      <c r="H323" s="26"/>
    </row>
    <row r="324" spans="1:8" ht="12.75" customHeight="1">
      <c r="A324" s="23">
        <v>43360</v>
      </c>
      <c r="B324" s="23"/>
      <c r="C324" s="28">
        <f>ROUND(17.524104125,4)</f>
        <v>17.5241</v>
      </c>
      <c r="D324" s="28">
        <f>F324</f>
        <v>18.9113</v>
      </c>
      <c r="E324" s="28">
        <f>F324</f>
        <v>18.9113</v>
      </c>
      <c r="F324" s="28">
        <f>ROUND(18.9113,4)</f>
        <v>18.9113</v>
      </c>
      <c r="G324" s="25"/>
      <c r="H324" s="26"/>
    </row>
    <row r="325" spans="1:8" ht="12.75" customHeight="1">
      <c r="A325" s="23">
        <v>43448</v>
      </c>
      <c r="B325" s="23"/>
      <c r="C325" s="28">
        <f>ROUND(17.524104125,4)</f>
        <v>17.5241</v>
      </c>
      <c r="D325" s="28">
        <f>F325</f>
        <v>19.2041</v>
      </c>
      <c r="E325" s="28">
        <f>F325</f>
        <v>19.2041</v>
      </c>
      <c r="F325" s="28">
        <f>ROUND(19.2041,4)</f>
        <v>19.2041</v>
      </c>
      <c r="G325" s="25"/>
      <c r="H325" s="26"/>
    </row>
    <row r="326" spans="1:8" ht="12.75" customHeight="1">
      <c r="A326" s="23">
        <v>43542</v>
      </c>
      <c r="B326" s="23"/>
      <c r="C326" s="28">
        <f>ROUND(17.524104125,4)</f>
        <v>17.5241</v>
      </c>
      <c r="D326" s="28">
        <f>F326</f>
        <v>19.2629</v>
      </c>
      <c r="E326" s="28">
        <f>F326</f>
        <v>19.2629</v>
      </c>
      <c r="F326" s="28">
        <f>ROUND(19.2629,4)</f>
        <v>19.2629</v>
      </c>
      <c r="G326" s="25"/>
      <c r="H326" s="26"/>
    </row>
    <row r="327" spans="1:8" ht="12.75" customHeight="1">
      <c r="A327" s="23">
        <v>43630</v>
      </c>
      <c r="B327" s="23"/>
      <c r="C327" s="28">
        <f>ROUND(17.524104125,4)</f>
        <v>17.5241</v>
      </c>
      <c r="D327" s="28">
        <f>F327</f>
        <v>19.8154</v>
      </c>
      <c r="E327" s="28">
        <f>F327</f>
        <v>19.8154</v>
      </c>
      <c r="F327" s="28">
        <f>ROUND(19.8154,4)</f>
        <v>19.8154</v>
      </c>
      <c r="G327" s="25"/>
      <c r="H327" s="26"/>
    </row>
    <row r="328" spans="1:8" ht="12.75" customHeight="1">
      <c r="A328" s="23" t="s">
        <v>74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42996</v>
      </c>
      <c r="B329" s="23"/>
      <c r="C329" s="28">
        <f>ROUND(1.69564160622226,4)</f>
        <v>1.6956</v>
      </c>
      <c r="D329" s="28">
        <f>F329</f>
        <v>1.7104</v>
      </c>
      <c r="E329" s="28">
        <f>F329</f>
        <v>1.7104</v>
      </c>
      <c r="F329" s="28">
        <f>ROUND(1.7104,4)</f>
        <v>1.7104</v>
      </c>
      <c r="G329" s="25"/>
      <c r="H329" s="26"/>
    </row>
    <row r="330" spans="1:8" ht="12.75" customHeight="1">
      <c r="A330" s="23">
        <v>43087</v>
      </c>
      <c r="B330" s="23"/>
      <c r="C330" s="28">
        <f>ROUND(1.69564160622226,4)</f>
        <v>1.6956</v>
      </c>
      <c r="D330" s="28">
        <f>F330</f>
        <v>1.7392</v>
      </c>
      <c r="E330" s="28">
        <f>F330</f>
        <v>1.7392</v>
      </c>
      <c r="F330" s="28">
        <f>ROUND(1.7392,4)</f>
        <v>1.7392</v>
      </c>
      <c r="G330" s="25"/>
      <c r="H330" s="26"/>
    </row>
    <row r="331" spans="1:8" ht="12.75" customHeight="1">
      <c r="A331" s="23">
        <v>43178</v>
      </c>
      <c r="B331" s="23"/>
      <c r="C331" s="28">
        <f>ROUND(1.69564160622226,4)</f>
        <v>1.6956</v>
      </c>
      <c r="D331" s="28">
        <f>F331</f>
        <v>1.767</v>
      </c>
      <c r="E331" s="28">
        <f>F331</f>
        <v>1.767</v>
      </c>
      <c r="F331" s="28">
        <f>ROUND(1.767,4)</f>
        <v>1.767</v>
      </c>
      <c r="G331" s="25"/>
      <c r="H331" s="26"/>
    </row>
    <row r="332" spans="1:8" ht="12.75" customHeight="1">
      <c r="A332" s="23">
        <v>43269</v>
      </c>
      <c r="B332" s="23"/>
      <c r="C332" s="28">
        <f>ROUND(1.69564160622226,4)</f>
        <v>1.6956</v>
      </c>
      <c r="D332" s="28">
        <f>F332</f>
        <v>1.7935</v>
      </c>
      <c r="E332" s="28">
        <f>F332</f>
        <v>1.7935</v>
      </c>
      <c r="F332" s="28">
        <v>1.7935</v>
      </c>
      <c r="G332" s="25"/>
      <c r="H332" s="26"/>
    </row>
    <row r="333" spans="1:8" ht="12.75" customHeight="1">
      <c r="A333" s="23">
        <v>43630</v>
      </c>
      <c r="B333" s="23"/>
      <c r="C333" s="28">
        <f>ROUND(1.69564160622226,4)</f>
        <v>1.6956</v>
      </c>
      <c r="D333" s="28">
        <f>F333</f>
        <v>1.8939</v>
      </c>
      <c r="E333" s="28">
        <f>F333</f>
        <v>1.8939</v>
      </c>
      <c r="F333" s="28">
        <f>ROUND(1.8939,4)</f>
        <v>1.8939</v>
      </c>
      <c r="G333" s="25"/>
      <c r="H333" s="26"/>
    </row>
    <row r="334" spans="1:8" ht="12.75" customHeight="1">
      <c r="A334" s="23" t="s">
        <v>75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42996</v>
      </c>
      <c r="B335" s="23"/>
      <c r="C335" s="30">
        <f>ROUND(0.120021278763115,6)</f>
        <v>0.120021</v>
      </c>
      <c r="D335" s="30">
        <f>F335</f>
        <v>0.121157</v>
      </c>
      <c r="E335" s="30">
        <f>F335</f>
        <v>0.121157</v>
      </c>
      <c r="F335" s="30">
        <f>ROUND(0.121157,6)</f>
        <v>0.121157</v>
      </c>
      <c r="G335" s="25"/>
      <c r="H335" s="26"/>
    </row>
    <row r="336" spans="1:8" ht="12.75" customHeight="1">
      <c r="A336" s="23">
        <v>43087</v>
      </c>
      <c r="B336" s="23"/>
      <c r="C336" s="30">
        <f>ROUND(0.120021278763115,6)</f>
        <v>0.120021</v>
      </c>
      <c r="D336" s="30">
        <f>F336</f>
        <v>0.123474</v>
      </c>
      <c r="E336" s="30">
        <f>F336</f>
        <v>0.123474</v>
      </c>
      <c r="F336" s="30">
        <f>ROUND(0.123474,6)</f>
        <v>0.123474</v>
      </c>
      <c r="G336" s="25"/>
      <c r="H336" s="26"/>
    </row>
    <row r="337" spans="1:8" ht="12.75" customHeight="1">
      <c r="A337" s="23">
        <v>43178</v>
      </c>
      <c r="B337" s="23"/>
      <c r="C337" s="30">
        <f>ROUND(0.120021278763115,6)</f>
        <v>0.120021</v>
      </c>
      <c r="D337" s="30">
        <f>F337</f>
        <v>0.125857</v>
      </c>
      <c r="E337" s="30">
        <f>F337</f>
        <v>0.125857</v>
      </c>
      <c r="F337" s="30">
        <f>ROUND(0.125857,6)</f>
        <v>0.125857</v>
      </c>
      <c r="G337" s="25"/>
      <c r="H337" s="26"/>
    </row>
    <row r="338" spans="1:8" ht="12.75" customHeight="1">
      <c r="A338" s="23">
        <v>43269</v>
      </c>
      <c r="B338" s="23"/>
      <c r="C338" s="30">
        <f>ROUND(0.120021278763115,6)</f>
        <v>0.120021</v>
      </c>
      <c r="D338" s="30">
        <f>F338</f>
        <v>0.128245</v>
      </c>
      <c r="E338" s="30">
        <f>F338</f>
        <v>0.128245</v>
      </c>
      <c r="F338" s="30">
        <f>ROUND(0.128245,6)</f>
        <v>0.128245</v>
      </c>
      <c r="G338" s="25"/>
      <c r="H338" s="26"/>
    </row>
    <row r="339" spans="1:8" ht="12.75" customHeight="1">
      <c r="A339" s="23">
        <v>43360</v>
      </c>
      <c r="B339" s="23"/>
      <c r="C339" s="30">
        <f>ROUND(0.120021278763115,6)</f>
        <v>0.120021</v>
      </c>
      <c r="D339" s="30">
        <f>F339</f>
        <v>0.130634</v>
      </c>
      <c r="E339" s="30">
        <f>F339</f>
        <v>0.130634</v>
      </c>
      <c r="F339" s="30">
        <f>ROUND(0.130634,6)</f>
        <v>0.130634</v>
      </c>
      <c r="G339" s="25"/>
      <c r="H339" s="26"/>
    </row>
    <row r="340" spans="1:8" ht="12.75" customHeight="1">
      <c r="A340" s="23">
        <v>43630</v>
      </c>
      <c r="B340" s="23"/>
      <c r="C340" s="30">
        <f>ROUND(0.120021278763115,6)</f>
        <v>0.120021</v>
      </c>
      <c r="D340" s="30">
        <f>F340</f>
        <v>0.13687</v>
      </c>
      <c r="E340" s="30">
        <f>F340</f>
        <v>0.13687</v>
      </c>
      <c r="F340" s="30">
        <f>ROUND(0.13687,6)</f>
        <v>0.13687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>ROUND(0.127586870728655,4)</f>
        <v>0.1276</v>
      </c>
      <c r="D342" s="28">
        <f>F342</f>
        <v>0.1275</v>
      </c>
      <c r="E342" s="28">
        <f>F342</f>
        <v>0.1275</v>
      </c>
      <c r="F342" s="28">
        <f>ROUND(0.1275,4)</f>
        <v>0.1275</v>
      </c>
      <c r="G342" s="25"/>
      <c r="H342" s="26"/>
    </row>
    <row r="343" spans="1:8" ht="12.75" customHeight="1">
      <c r="A343" s="23">
        <v>43087</v>
      </c>
      <c r="B343" s="23"/>
      <c r="C343" s="28">
        <f>ROUND(0.127586870728655,4)</f>
        <v>0.1276</v>
      </c>
      <c r="D343" s="28">
        <f>F343</f>
        <v>0.1269</v>
      </c>
      <c r="E343" s="28">
        <f>F343</f>
        <v>0.1269</v>
      </c>
      <c r="F343" s="28">
        <f>ROUND(0.1269,4)</f>
        <v>0.1269</v>
      </c>
      <c r="G343" s="25"/>
      <c r="H343" s="26"/>
    </row>
    <row r="344" spans="1:8" ht="12.75" customHeight="1">
      <c r="A344" s="23">
        <v>43178</v>
      </c>
      <c r="B344" s="23"/>
      <c r="C344" s="28">
        <f>ROUND(0.127586870728655,4)</f>
        <v>0.1276</v>
      </c>
      <c r="D344" s="28">
        <f>F344</f>
        <v>0.1262</v>
      </c>
      <c r="E344" s="28">
        <f>F344</f>
        <v>0.1262</v>
      </c>
      <c r="F344" s="28">
        <f>ROUND(0.1262,4)</f>
        <v>0.1262</v>
      </c>
      <c r="G344" s="25"/>
      <c r="H344" s="26"/>
    </row>
    <row r="345" spans="1:8" ht="12.75" customHeight="1">
      <c r="A345" s="23">
        <v>43269</v>
      </c>
      <c r="B345" s="23"/>
      <c r="C345" s="28">
        <f>ROUND(0.127586870728655,4)</f>
        <v>0.1276</v>
      </c>
      <c r="D345" s="28">
        <f>F345</f>
        <v>0.1258</v>
      </c>
      <c r="E345" s="28">
        <f>F345</f>
        <v>0.1258</v>
      </c>
      <c r="F345" s="28">
        <f>ROUND(0.1258,4)</f>
        <v>0.1258</v>
      </c>
      <c r="G345" s="25"/>
      <c r="H345" s="26"/>
    </row>
    <row r="346" spans="1:8" ht="12.75" customHeight="1">
      <c r="A346" s="23">
        <v>43360</v>
      </c>
      <c r="B346" s="23"/>
      <c r="C346" s="28">
        <f>ROUND(0.127586870728655,4)</f>
        <v>0.1276</v>
      </c>
      <c r="D346" s="28">
        <f>F346</f>
        <v>0.1256</v>
      </c>
      <c r="E346" s="28">
        <f>F346</f>
        <v>0.1256</v>
      </c>
      <c r="F346" s="28">
        <f>ROUND(0.1256,4)</f>
        <v>0.1256</v>
      </c>
      <c r="G346" s="25"/>
      <c r="H346" s="26"/>
    </row>
    <row r="347" spans="1:8" ht="12.75" customHeight="1">
      <c r="A347" s="23">
        <v>43630</v>
      </c>
      <c r="B347" s="23"/>
      <c r="C347" s="28">
        <f>ROUND(0.127586870728655,4)</f>
        <v>0.1276</v>
      </c>
      <c r="D347" s="28">
        <f>F347</f>
        <v>0.1218</v>
      </c>
      <c r="E347" s="28">
        <f>F347</f>
        <v>0.1218</v>
      </c>
      <c r="F347" s="28">
        <f>ROUND(0.1218,4)</f>
        <v>0.1218</v>
      </c>
      <c r="G347" s="25"/>
      <c r="H347" s="26"/>
    </row>
    <row r="348" spans="1:8" ht="12.75" customHeight="1">
      <c r="A348" s="23" t="s">
        <v>77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ROUND(1.6809440171455,4)</f>
        <v>1.6809</v>
      </c>
      <c r="D349" s="28">
        <f>F349</f>
        <v>1.6953</v>
      </c>
      <c r="E349" s="28">
        <f>F349</f>
        <v>1.6953</v>
      </c>
      <c r="F349" s="28">
        <f>ROUND(1.6953,4)</f>
        <v>1.6953</v>
      </c>
      <c r="G349" s="25"/>
      <c r="H349" s="26"/>
    </row>
    <row r="350" spans="1:8" ht="12.75" customHeight="1">
      <c r="A350" s="23">
        <v>43087</v>
      </c>
      <c r="B350" s="23"/>
      <c r="C350" s="28">
        <f>ROUND(1.6809440171455,4)</f>
        <v>1.6809</v>
      </c>
      <c r="D350" s="28">
        <f>F350</f>
        <v>1.7233</v>
      </c>
      <c r="E350" s="28">
        <f>F350</f>
        <v>1.7233</v>
      </c>
      <c r="F350" s="28">
        <f>ROUND(1.7233,4)</f>
        <v>1.7233</v>
      </c>
      <c r="G350" s="25"/>
      <c r="H350" s="26"/>
    </row>
    <row r="351" spans="1:8" ht="12.75" customHeight="1">
      <c r="A351" s="23">
        <v>43178</v>
      </c>
      <c r="B351" s="23"/>
      <c r="C351" s="28">
        <f>ROUND(1.6809440171455,4)</f>
        <v>1.6809</v>
      </c>
      <c r="D351" s="28">
        <f>F351</f>
        <v>1.7512</v>
      </c>
      <c r="E351" s="28">
        <f>F351</f>
        <v>1.7512</v>
      </c>
      <c r="F351" s="28">
        <f>ROUND(1.7512,4)</f>
        <v>1.7512</v>
      </c>
      <c r="G351" s="25"/>
      <c r="H351" s="26"/>
    </row>
    <row r="352" spans="1:8" ht="12.75" customHeight="1">
      <c r="A352" s="23">
        <v>43269</v>
      </c>
      <c r="B352" s="23"/>
      <c r="C352" s="28">
        <f>ROUND(1.6809440171455,4)</f>
        <v>1.6809</v>
      </c>
      <c r="D352" s="28">
        <f>F352</f>
        <v>1.7791</v>
      </c>
      <c r="E352" s="28">
        <f>F352</f>
        <v>1.7791</v>
      </c>
      <c r="F352" s="28">
        <f>ROUND(1.7791,4)</f>
        <v>1.7791</v>
      </c>
      <c r="G352" s="25"/>
      <c r="H352" s="26"/>
    </row>
    <row r="353" spans="1:8" ht="12.75" customHeight="1">
      <c r="A353" s="23">
        <v>43630</v>
      </c>
      <c r="B353" s="23"/>
      <c r="C353" s="28">
        <f>ROUND(1.6809440171455,4)</f>
        <v>1.6809</v>
      </c>
      <c r="D353" s="28">
        <f>F353</f>
        <v>1.8909</v>
      </c>
      <c r="E353" s="28">
        <f>F353</f>
        <v>1.8909</v>
      </c>
      <c r="F353" s="28">
        <f>ROUND(1.8909,4)</f>
        <v>1.8909</v>
      </c>
      <c r="G353" s="25"/>
      <c r="H353" s="26"/>
    </row>
    <row r="354" spans="1:8" ht="12.75" customHeight="1">
      <c r="A354" s="23" t="s">
        <v>78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42996</v>
      </c>
      <c r="B355" s="23"/>
      <c r="C355" s="28">
        <f>ROUND(0.0892261001517451,4)</f>
        <v>0.0892</v>
      </c>
      <c r="D355" s="28">
        <f>F355</f>
        <v>0.0383</v>
      </c>
      <c r="E355" s="28">
        <f>F355</f>
        <v>0.0383</v>
      </c>
      <c r="F355" s="28">
        <f>ROUND(0.0383,4)</f>
        <v>0.0383</v>
      </c>
      <c r="G355" s="25"/>
      <c r="H355" s="26"/>
    </row>
    <row r="356" spans="1:8" ht="12.75" customHeight="1">
      <c r="A356" s="23" t="s">
        <v>79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ROUND(9.853767,4)</f>
        <v>9.8538</v>
      </c>
      <c r="D357" s="28">
        <f>F357</f>
        <v>9.9193</v>
      </c>
      <c r="E357" s="28">
        <f>F357</f>
        <v>9.9193</v>
      </c>
      <c r="F357" s="28">
        <f>ROUND(9.9193,4)</f>
        <v>9.9193</v>
      </c>
      <c r="G357" s="25"/>
      <c r="H357" s="26"/>
    </row>
    <row r="358" spans="1:8" ht="12.75" customHeight="1">
      <c r="A358" s="23">
        <v>43087</v>
      </c>
      <c r="B358" s="23"/>
      <c r="C358" s="28">
        <f>ROUND(9.853767,4)</f>
        <v>9.8538</v>
      </c>
      <c r="D358" s="28">
        <f>F358</f>
        <v>10.0485</v>
      </c>
      <c r="E358" s="28">
        <f>F358</f>
        <v>10.0485</v>
      </c>
      <c r="F358" s="28">
        <f>ROUND(10.0485,4)</f>
        <v>10.0485</v>
      </c>
      <c r="G358" s="25"/>
      <c r="H358" s="26"/>
    </row>
    <row r="359" spans="1:8" ht="12.75" customHeight="1">
      <c r="A359" s="23">
        <v>43178</v>
      </c>
      <c r="B359" s="23"/>
      <c r="C359" s="28">
        <f>ROUND(9.853767,4)</f>
        <v>9.8538</v>
      </c>
      <c r="D359" s="28">
        <f>F359</f>
        <v>10.177</v>
      </c>
      <c r="E359" s="28">
        <f>F359</f>
        <v>10.177</v>
      </c>
      <c r="F359" s="28">
        <f>ROUND(10.177,4)</f>
        <v>10.177</v>
      </c>
      <c r="G359" s="25"/>
      <c r="H359" s="26"/>
    </row>
    <row r="360" spans="1:8" ht="12.75" customHeight="1">
      <c r="A360" s="23">
        <v>43269</v>
      </c>
      <c r="B360" s="23"/>
      <c r="C360" s="28">
        <f>ROUND(9.853767,4)</f>
        <v>9.8538</v>
      </c>
      <c r="D360" s="28">
        <f>F360</f>
        <v>10.3019</v>
      </c>
      <c r="E360" s="28">
        <f>F360</f>
        <v>10.3019</v>
      </c>
      <c r="F360" s="28">
        <f>ROUND(10.3019,4)</f>
        <v>10.3019</v>
      </c>
      <c r="G360" s="25"/>
      <c r="H360" s="26"/>
    </row>
    <row r="361" spans="1:8" ht="12.75" customHeight="1">
      <c r="A361" s="23">
        <v>43630</v>
      </c>
      <c r="B361" s="23"/>
      <c r="C361" s="28">
        <f>ROUND(9.853767,4)</f>
        <v>9.8538</v>
      </c>
      <c r="D361" s="28">
        <f>F361</f>
        <v>10.776</v>
      </c>
      <c r="E361" s="28">
        <f>F361</f>
        <v>10.776</v>
      </c>
      <c r="F361" s="28">
        <f>ROUND(10.776,4)</f>
        <v>10.776</v>
      </c>
      <c r="G361" s="25"/>
      <c r="H361" s="26"/>
    </row>
    <row r="362" spans="1:8" ht="12.75" customHeight="1">
      <c r="A362" s="23" t="s">
        <v>80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42996</v>
      </c>
      <c r="B363" s="23"/>
      <c r="C363" s="28">
        <f>ROUND(9.75924017081431,4)</f>
        <v>9.7592</v>
      </c>
      <c r="D363" s="28">
        <f>F363</f>
        <v>9.8374</v>
      </c>
      <c r="E363" s="28">
        <f>F363</f>
        <v>9.8374</v>
      </c>
      <c r="F363" s="28">
        <f>ROUND(9.8374,4)</f>
        <v>9.8374</v>
      </c>
      <c r="G363" s="25"/>
      <c r="H363" s="26"/>
    </row>
    <row r="364" spans="1:8" ht="12.75" customHeight="1">
      <c r="A364" s="23">
        <v>43087</v>
      </c>
      <c r="B364" s="23"/>
      <c r="C364" s="28">
        <f>ROUND(9.75924017081431,4)</f>
        <v>9.7592</v>
      </c>
      <c r="D364" s="28">
        <f>F364</f>
        <v>9.9943</v>
      </c>
      <c r="E364" s="28">
        <f>F364</f>
        <v>9.9943</v>
      </c>
      <c r="F364" s="28">
        <f>ROUND(9.9943,4)</f>
        <v>9.9943</v>
      </c>
      <c r="G364" s="25"/>
      <c r="H364" s="26"/>
    </row>
    <row r="365" spans="1:8" ht="12.75" customHeight="1">
      <c r="A365" s="23">
        <v>43178</v>
      </c>
      <c r="B365" s="23"/>
      <c r="C365" s="28">
        <f>ROUND(9.75924017081431,4)</f>
        <v>9.7592</v>
      </c>
      <c r="D365" s="28">
        <f>F365</f>
        <v>10.1507</v>
      </c>
      <c r="E365" s="28">
        <f>F365</f>
        <v>10.1507</v>
      </c>
      <c r="F365" s="28">
        <f>ROUND(10.1507,4)</f>
        <v>10.1507</v>
      </c>
      <c r="G365" s="25"/>
      <c r="H365" s="26"/>
    </row>
    <row r="366" spans="1:8" ht="12.75" customHeight="1">
      <c r="A366" s="23">
        <v>43269</v>
      </c>
      <c r="B366" s="23"/>
      <c r="C366" s="28">
        <f>ROUND(9.75924017081431,4)</f>
        <v>9.7592</v>
      </c>
      <c r="D366" s="28">
        <f>F366</f>
        <v>10.3036</v>
      </c>
      <c r="E366" s="28">
        <f>F366</f>
        <v>10.3036</v>
      </c>
      <c r="F366" s="28">
        <f>ROUND(10.3036,4)</f>
        <v>10.3036</v>
      </c>
      <c r="G366" s="25"/>
      <c r="H366" s="26"/>
    </row>
    <row r="367" spans="1:8" ht="12.75" customHeight="1">
      <c r="A367" s="23">
        <v>43630</v>
      </c>
      <c r="B367" s="23"/>
      <c r="C367" s="28">
        <f>ROUND(9.75924017081431,4)</f>
        <v>9.7592</v>
      </c>
      <c r="D367" s="28">
        <f>F367</f>
        <v>10.8979</v>
      </c>
      <c r="E367" s="28">
        <f>F367</f>
        <v>10.8979</v>
      </c>
      <c r="F367" s="28">
        <f>ROUND(10.8979,4)</f>
        <v>10.8979</v>
      </c>
      <c r="G367" s="25"/>
      <c r="H367" s="26"/>
    </row>
    <row r="368" spans="1:8" ht="12.75" customHeight="1">
      <c r="A368" s="23" t="s">
        <v>81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42996</v>
      </c>
      <c r="B369" s="23"/>
      <c r="C369" s="28">
        <f>ROUND(3.75017682840571,4)</f>
        <v>3.7502</v>
      </c>
      <c r="D369" s="28">
        <f>F369</f>
        <v>3.729</v>
      </c>
      <c r="E369" s="28">
        <f>F369</f>
        <v>3.729</v>
      </c>
      <c r="F369" s="28">
        <f>ROUND(3.729,4)</f>
        <v>3.729</v>
      </c>
      <c r="G369" s="25"/>
      <c r="H369" s="26"/>
    </row>
    <row r="370" spans="1:8" ht="12.75" customHeight="1">
      <c r="A370" s="23">
        <v>43087</v>
      </c>
      <c r="B370" s="23"/>
      <c r="C370" s="28">
        <f>ROUND(3.75017682840571,4)</f>
        <v>3.7502</v>
      </c>
      <c r="D370" s="28">
        <f>F370</f>
        <v>3.6875</v>
      </c>
      <c r="E370" s="28">
        <f>F370</f>
        <v>3.6875</v>
      </c>
      <c r="F370" s="28">
        <f>ROUND(3.6875,4)</f>
        <v>3.6875</v>
      </c>
      <c r="G370" s="25"/>
      <c r="H370" s="26"/>
    </row>
    <row r="371" spans="1:8" ht="12.75" customHeight="1">
      <c r="A371" s="23">
        <v>43178</v>
      </c>
      <c r="B371" s="23"/>
      <c r="C371" s="28">
        <f>ROUND(3.75017682840571,4)</f>
        <v>3.7502</v>
      </c>
      <c r="D371" s="28">
        <f>F371</f>
        <v>3.6491</v>
      </c>
      <c r="E371" s="28">
        <f>F371</f>
        <v>3.6491</v>
      </c>
      <c r="F371" s="28">
        <f>ROUND(3.6491,4)</f>
        <v>3.6491</v>
      </c>
      <c r="G371" s="25"/>
      <c r="H371" s="26"/>
    </row>
    <row r="372" spans="1:8" ht="12.75" customHeight="1">
      <c r="A372" s="23">
        <v>43269</v>
      </c>
      <c r="B372" s="23"/>
      <c r="C372" s="28">
        <f>ROUND(3.75017682840571,4)</f>
        <v>3.7502</v>
      </c>
      <c r="D372" s="28">
        <f>F372</f>
        <v>3.6142</v>
      </c>
      <c r="E372" s="28">
        <f>F372</f>
        <v>3.6142</v>
      </c>
      <c r="F372" s="28">
        <f>ROUND(3.6142,4)</f>
        <v>3.6142</v>
      </c>
      <c r="G372" s="25"/>
      <c r="H372" s="26"/>
    </row>
    <row r="373" spans="1:8" ht="12.75" customHeight="1">
      <c r="A373" s="23">
        <v>43630</v>
      </c>
      <c r="B373" s="23"/>
      <c r="C373" s="28">
        <f>ROUND(3.75017682840571,4)</f>
        <v>3.7502</v>
      </c>
      <c r="D373" s="28">
        <f>F373</f>
        <v>3.5029</v>
      </c>
      <c r="E373" s="28">
        <f>F373</f>
        <v>3.5029</v>
      </c>
      <c r="F373" s="28">
        <f>ROUND(3.5029,4)</f>
        <v>3.5029</v>
      </c>
      <c r="G373" s="25"/>
      <c r="H373" s="26"/>
    </row>
    <row r="374" spans="1:8" ht="12.75" customHeight="1">
      <c r="A374" s="23" t="s">
        <v>82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42996</v>
      </c>
      <c r="B375" s="23"/>
      <c r="C375" s="28">
        <f>ROUND(13.255,4)</f>
        <v>13.255</v>
      </c>
      <c r="D375" s="28">
        <f>F375</f>
        <v>13.3538</v>
      </c>
      <c r="E375" s="28">
        <f>F375</f>
        <v>13.3538</v>
      </c>
      <c r="F375" s="28">
        <f>ROUND(13.3538,4)</f>
        <v>13.3538</v>
      </c>
      <c r="G375" s="25"/>
      <c r="H375" s="26"/>
    </row>
    <row r="376" spans="1:8" ht="12.75" customHeight="1">
      <c r="A376" s="23">
        <v>43087</v>
      </c>
      <c r="B376" s="23"/>
      <c r="C376" s="28">
        <f>ROUND(13.255,4)</f>
        <v>13.255</v>
      </c>
      <c r="D376" s="28">
        <f>F376</f>
        <v>13.5493</v>
      </c>
      <c r="E376" s="28">
        <f>F376</f>
        <v>13.5493</v>
      </c>
      <c r="F376" s="28">
        <f>ROUND(13.5493,4)</f>
        <v>13.5493</v>
      </c>
      <c r="G376" s="25"/>
      <c r="H376" s="26"/>
    </row>
    <row r="377" spans="1:8" ht="12.75" customHeight="1">
      <c r="A377" s="23">
        <v>43178</v>
      </c>
      <c r="B377" s="23"/>
      <c r="C377" s="28">
        <f>ROUND(13.255,4)</f>
        <v>13.255</v>
      </c>
      <c r="D377" s="28">
        <f>F377</f>
        <v>13.7438</v>
      </c>
      <c r="E377" s="28">
        <f>F377</f>
        <v>13.7438</v>
      </c>
      <c r="F377" s="28">
        <f>ROUND(13.7438,4)</f>
        <v>13.7438</v>
      </c>
      <c r="G377" s="25"/>
      <c r="H377" s="26"/>
    </row>
    <row r="378" spans="1:8" ht="12.75" customHeight="1">
      <c r="A378" s="23">
        <v>43269</v>
      </c>
      <c r="B378" s="23"/>
      <c r="C378" s="28">
        <f>ROUND(13.255,4)</f>
        <v>13.255</v>
      </c>
      <c r="D378" s="28">
        <f>F378</f>
        <v>13.9344</v>
      </c>
      <c r="E378" s="28">
        <f>F378</f>
        <v>13.9344</v>
      </c>
      <c r="F378" s="28">
        <f>ROUND(13.9344,4)</f>
        <v>13.9344</v>
      </c>
      <c r="G378" s="25"/>
      <c r="H378" s="26"/>
    </row>
    <row r="379" spans="1:8" ht="12.75" customHeight="1">
      <c r="A379" s="23">
        <v>43360</v>
      </c>
      <c r="B379" s="23"/>
      <c r="C379" s="28">
        <f>ROUND(13.255,4)</f>
        <v>13.255</v>
      </c>
      <c r="D379" s="28">
        <f>F379</f>
        <v>14.1206</v>
      </c>
      <c r="E379" s="28">
        <f>F379</f>
        <v>14.1206</v>
      </c>
      <c r="F379" s="28">
        <v>14.1206</v>
      </c>
      <c r="G379" s="25"/>
      <c r="H379" s="26"/>
    </row>
    <row r="380" spans="1:8" ht="12.75" customHeight="1">
      <c r="A380" s="23">
        <v>43630</v>
      </c>
      <c r="B380" s="23"/>
      <c r="C380" s="28">
        <f>ROUND(13.255,4)</f>
        <v>13.255</v>
      </c>
      <c r="D380" s="28">
        <f>F380</f>
        <v>14.6664</v>
      </c>
      <c r="E380" s="28">
        <f>F380</f>
        <v>14.6664</v>
      </c>
      <c r="F380" s="28">
        <v>14.6664</v>
      </c>
      <c r="G380" s="25"/>
      <c r="H380" s="26"/>
    </row>
    <row r="381" spans="1:8" ht="12.75" customHeight="1">
      <c r="A381" s="23" t="s">
        <v>83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42996</v>
      </c>
      <c r="B382" s="23"/>
      <c r="C382" s="28">
        <f>ROUND(13.255,4)</f>
        <v>13.255</v>
      </c>
      <c r="D382" s="28">
        <f>F382</f>
        <v>13.3538</v>
      </c>
      <c r="E382" s="28">
        <f>F382</f>
        <v>13.3538</v>
      </c>
      <c r="F382" s="28">
        <f>ROUND(13.3538,4)</f>
        <v>13.3538</v>
      </c>
      <c r="G382" s="25"/>
      <c r="H382" s="26"/>
    </row>
    <row r="383" spans="1:8" ht="12.75" customHeight="1">
      <c r="A383" s="23">
        <v>43087</v>
      </c>
      <c r="B383" s="23"/>
      <c r="C383" s="28">
        <f>ROUND(13.255,4)</f>
        <v>13.255</v>
      </c>
      <c r="D383" s="28">
        <f>F383</f>
        <v>13.5493</v>
      </c>
      <c r="E383" s="28">
        <f>F383</f>
        <v>13.5493</v>
      </c>
      <c r="F383" s="28">
        <f>ROUND(13.5493,4)</f>
        <v>13.5493</v>
      </c>
      <c r="G383" s="25"/>
      <c r="H383" s="26"/>
    </row>
    <row r="384" spans="1:8" ht="12.75" customHeight="1">
      <c r="A384" s="23">
        <v>43175</v>
      </c>
      <c r="B384" s="23"/>
      <c r="C384" s="28">
        <f>ROUND(13.255,4)</f>
        <v>13.255</v>
      </c>
      <c r="D384" s="28">
        <f>F384</f>
        <v>17.5004</v>
      </c>
      <c r="E384" s="28">
        <f>F384</f>
        <v>17.5004</v>
      </c>
      <c r="F384" s="28">
        <f>ROUND(17.5004,4)</f>
        <v>17.5004</v>
      </c>
      <c r="G384" s="25"/>
      <c r="H384" s="26"/>
    </row>
    <row r="385" spans="1:8" ht="12.75" customHeight="1">
      <c r="A385" s="23">
        <v>43178</v>
      </c>
      <c r="B385" s="23"/>
      <c r="C385" s="28">
        <f>ROUND(13.255,4)</f>
        <v>13.255</v>
      </c>
      <c r="D385" s="28">
        <f>F385</f>
        <v>13.7438</v>
      </c>
      <c r="E385" s="28">
        <f>F385</f>
        <v>13.7438</v>
      </c>
      <c r="F385" s="28">
        <f>ROUND(13.7438,4)</f>
        <v>13.7438</v>
      </c>
      <c r="G385" s="25"/>
      <c r="H385" s="26"/>
    </row>
    <row r="386" spans="1:8" ht="12.75" customHeight="1">
      <c r="A386" s="23">
        <v>43269</v>
      </c>
      <c r="B386" s="23"/>
      <c r="C386" s="28">
        <f>ROUND(13.255,4)</f>
        <v>13.255</v>
      </c>
      <c r="D386" s="28">
        <f>F386</f>
        <v>13.9344</v>
      </c>
      <c r="E386" s="28">
        <f>F386</f>
        <v>13.9344</v>
      </c>
      <c r="F386" s="28">
        <f>ROUND(13.9344,4)</f>
        <v>13.9344</v>
      </c>
      <c r="G386" s="25"/>
      <c r="H386" s="26"/>
    </row>
    <row r="387" spans="1:8" ht="12.75" customHeight="1">
      <c r="A387" s="23">
        <v>43360</v>
      </c>
      <c r="B387" s="23"/>
      <c r="C387" s="28">
        <f>ROUND(13.255,4)</f>
        <v>13.255</v>
      </c>
      <c r="D387" s="28">
        <f>F387</f>
        <v>14.1206</v>
      </c>
      <c r="E387" s="28">
        <f>F387</f>
        <v>14.1206</v>
      </c>
      <c r="F387" s="28">
        <f>ROUND(14.1206,4)</f>
        <v>14.1206</v>
      </c>
      <c r="G387" s="25"/>
      <c r="H387" s="26"/>
    </row>
    <row r="388" spans="1:8" ht="12.75" customHeight="1">
      <c r="A388" s="23">
        <v>43448</v>
      </c>
      <c r="B388" s="23"/>
      <c r="C388" s="28">
        <f>ROUND(13.255,4)</f>
        <v>13.255</v>
      </c>
      <c r="D388" s="28">
        <f>F388</f>
        <v>14.2985</v>
      </c>
      <c r="E388" s="28">
        <f>F388</f>
        <v>14.2985</v>
      </c>
      <c r="F388" s="28">
        <f>ROUND(14.2985,4)</f>
        <v>14.2985</v>
      </c>
      <c r="G388" s="25"/>
      <c r="H388" s="26"/>
    </row>
    <row r="389" spans="1:8" ht="12.75" customHeight="1">
      <c r="A389" s="23">
        <v>43542</v>
      </c>
      <c r="B389" s="23"/>
      <c r="C389" s="28">
        <f>ROUND(13.255,4)</f>
        <v>13.255</v>
      </c>
      <c r="D389" s="28">
        <f>F389</f>
        <v>14.4885</v>
      </c>
      <c r="E389" s="28">
        <f>F389</f>
        <v>14.4885</v>
      </c>
      <c r="F389" s="28">
        <f>ROUND(14.4885,4)</f>
        <v>14.4885</v>
      </c>
      <c r="G389" s="25"/>
      <c r="H389" s="26"/>
    </row>
    <row r="390" spans="1:8" ht="12.75" customHeight="1">
      <c r="A390" s="23">
        <v>43630</v>
      </c>
      <c r="B390" s="23"/>
      <c r="C390" s="28">
        <f>ROUND(13.255,4)</f>
        <v>13.255</v>
      </c>
      <c r="D390" s="28">
        <f>F390</f>
        <v>14.6664</v>
      </c>
      <c r="E390" s="28">
        <f>F390</f>
        <v>14.6664</v>
      </c>
      <c r="F390" s="28">
        <f>ROUND(14.6664,4)</f>
        <v>14.6664</v>
      </c>
      <c r="G390" s="25"/>
      <c r="H390" s="26"/>
    </row>
    <row r="391" spans="1:8" ht="12.75" customHeight="1">
      <c r="A391" s="23">
        <v>43724</v>
      </c>
      <c r="B391" s="23"/>
      <c r="C391" s="28">
        <f>ROUND(13.255,4)</f>
        <v>13.255</v>
      </c>
      <c r="D391" s="28">
        <f>F391</f>
        <v>14.8745</v>
      </c>
      <c r="E391" s="28">
        <f>F391</f>
        <v>14.8745</v>
      </c>
      <c r="F391" s="28">
        <f>ROUND(14.8745,4)</f>
        <v>14.8745</v>
      </c>
      <c r="G391" s="25"/>
      <c r="H391" s="26"/>
    </row>
    <row r="392" spans="1:8" ht="12.75" customHeight="1">
      <c r="A392" s="23">
        <v>43812</v>
      </c>
      <c r="B392" s="23"/>
      <c r="C392" s="28">
        <f>ROUND(13.255,4)</f>
        <v>13.255</v>
      </c>
      <c r="D392" s="28">
        <f>F392</f>
        <v>15.0905</v>
      </c>
      <c r="E392" s="28">
        <f>F392</f>
        <v>15.0905</v>
      </c>
      <c r="F392" s="28">
        <f>ROUND(15.0905,4)</f>
        <v>15.0905</v>
      </c>
      <c r="G392" s="25"/>
      <c r="H392" s="26"/>
    </row>
    <row r="393" spans="1:8" ht="12.75" customHeight="1">
      <c r="A393" s="23">
        <v>43906</v>
      </c>
      <c r="B393" s="23"/>
      <c r="C393" s="28">
        <f>ROUND(13.255,4)</f>
        <v>13.255</v>
      </c>
      <c r="D393" s="28">
        <f>F393</f>
        <v>15.3211</v>
      </c>
      <c r="E393" s="28">
        <f>F393</f>
        <v>15.3211</v>
      </c>
      <c r="F393" s="28">
        <f>ROUND(15.3211,4)</f>
        <v>15.3211</v>
      </c>
      <c r="G393" s="25"/>
      <c r="H393" s="26"/>
    </row>
    <row r="394" spans="1:8" ht="12.75" customHeight="1">
      <c r="A394" s="23">
        <v>43994</v>
      </c>
      <c r="B394" s="23"/>
      <c r="C394" s="28">
        <f>ROUND(13.255,4)</f>
        <v>13.255</v>
      </c>
      <c r="D394" s="28">
        <f>F394</f>
        <v>15.537</v>
      </c>
      <c r="E394" s="28">
        <f>F394</f>
        <v>15.537</v>
      </c>
      <c r="F394" s="28">
        <f>ROUND(15.537,4)</f>
        <v>15.537</v>
      </c>
      <c r="G394" s="25"/>
      <c r="H394" s="26"/>
    </row>
    <row r="395" spans="1:8" ht="12.75" customHeight="1">
      <c r="A395" s="23">
        <v>44088</v>
      </c>
      <c r="B395" s="23"/>
      <c r="C395" s="28">
        <f>ROUND(13.255,4)</f>
        <v>13.255</v>
      </c>
      <c r="D395" s="28">
        <f>F395</f>
        <v>15.7676</v>
      </c>
      <c r="E395" s="28">
        <f>F395</f>
        <v>15.7676</v>
      </c>
      <c r="F395" s="28">
        <f>ROUND(15.7676,4)</f>
        <v>15.7676</v>
      </c>
      <c r="G395" s="25"/>
      <c r="H395" s="26"/>
    </row>
    <row r="396" spans="1:8" ht="12.75" customHeight="1">
      <c r="A396" s="23" t="s">
        <v>84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42996</v>
      </c>
      <c r="B397" s="23"/>
      <c r="C397" s="28">
        <f>ROUND(1.46674781454022,4)</f>
        <v>1.4667</v>
      </c>
      <c r="D397" s="28">
        <f>F397</f>
        <v>1.4461</v>
      </c>
      <c r="E397" s="28">
        <f>F397</f>
        <v>1.4461</v>
      </c>
      <c r="F397" s="28">
        <f>ROUND(1.4461,4)</f>
        <v>1.4461</v>
      </c>
      <c r="G397" s="25"/>
      <c r="H397" s="26"/>
    </row>
    <row r="398" spans="1:8" ht="12.75" customHeight="1">
      <c r="A398" s="23">
        <v>43087</v>
      </c>
      <c r="B398" s="23"/>
      <c r="C398" s="28">
        <f>ROUND(1.46674781454022,4)</f>
        <v>1.4667</v>
      </c>
      <c r="D398" s="28">
        <f>F398</f>
        <v>1.4238</v>
      </c>
      <c r="E398" s="28">
        <f>F398</f>
        <v>1.4238</v>
      </c>
      <c r="F398" s="28">
        <f>ROUND(1.4238,4)</f>
        <v>1.4238</v>
      </c>
      <c r="G398" s="25"/>
      <c r="H398" s="26"/>
    </row>
    <row r="399" spans="1:8" ht="12.75" customHeight="1">
      <c r="A399" s="23">
        <v>43178</v>
      </c>
      <c r="B399" s="23"/>
      <c r="C399" s="28">
        <f>ROUND(1.46674781454022,4)</f>
        <v>1.4667</v>
      </c>
      <c r="D399" s="28">
        <f>F399</f>
        <v>1.3994</v>
      </c>
      <c r="E399" s="28">
        <f>F399</f>
        <v>1.3994</v>
      </c>
      <c r="F399" s="28">
        <f>ROUND(1.3994,4)</f>
        <v>1.3994</v>
      </c>
      <c r="G399" s="25"/>
      <c r="H399" s="26"/>
    </row>
    <row r="400" spans="1:8" ht="12.75" customHeight="1">
      <c r="A400" s="23">
        <v>43269</v>
      </c>
      <c r="B400" s="23"/>
      <c r="C400" s="28">
        <f>ROUND(1.46674781454022,4)</f>
        <v>1.4667</v>
      </c>
      <c r="D400" s="28">
        <f>F400</f>
        <v>1.3685</v>
      </c>
      <c r="E400" s="28">
        <f>F400</f>
        <v>1.3685</v>
      </c>
      <c r="F400" s="28">
        <f>ROUND(1.3685,4)</f>
        <v>1.3685</v>
      </c>
      <c r="G400" s="25"/>
      <c r="H400" s="26"/>
    </row>
    <row r="401" spans="1:8" ht="12.75" customHeight="1">
      <c r="A401" s="23">
        <v>43630</v>
      </c>
      <c r="B401" s="23"/>
      <c r="C401" s="28">
        <f>ROUND(1.46674781454022,4)</f>
        <v>1.4667</v>
      </c>
      <c r="D401" s="28">
        <f>F401</f>
        <v>1.2037</v>
      </c>
      <c r="E401" s="28">
        <f>F401</f>
        <v>1.2037</v>
      </c>
      <c r="F401" s="28">
        <f>ROUND(1.2037,4)</f>
        <v>1.2037</v>
      </c>
      <c r="G401" s="25"/>
      <c r="H401" s="26"/>
    </row>
    <row r="402" spans="1:8" ht="12.75" customHeight="1">
      <c r="A402" s="23" t="s">
        <v>85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42950</v>
      </c>
      <c r="B403" s="23"/>
      <c r="C403" s="29">
        <f>ROUND(610.698,3)</f>
        <v>610.698</v>
      </c>
      <c r="D403" s="29">
        <f>F403</f>
        <v>610.818</v>
      </c>
      <c r="E403" s="29">
        <f>F403</f>
        <v>610.818</v>
      </c>
      <c r="F403" s="29">
        <f>ROUND(610.818,3)</f>
        <v>610.818</v>
      </c>
      <c r="G403" s="25"/>
      <c r="H403" s="26"/>
    </row>
    <row r="404" spans="1:8" ht="12.75" customHeight="1">
      <c r="A404" s="23">
        <v>43041</v>
      </c>
      <c r="B404" s="23"/>
      <c r="C404" s="29">
        <f>ROUND(610.698,3)</f>
        <v>610.698</v>
      </c>
      <c r="D404" s="29">
        <f>F404</f>
        <v>622.058</v>
      </c>
      <c r="E404" s="29">
        <f>F404</f>
        <v>622.058</v>
      </c>
      <c r="F404" s="29">
        <f>ROUND(622.058,3)</f>
        <v>622.058</v>
      </c>
      <c r="G404" s="25"/>
      <c r="H404" s="26"/>
    </row>
    <row r="405" spans="1:8" ht="12.75" customHeight="1">
      <c r="A405" s="23">
        <v>43132</v>
      </c>
      <c r="B405" s="23"/>
      <c r="C405" s="29">
        <f>ROUND(610.698,3)</f>
        <v>610.698</v>
      </c>
      <c r="D405" s="29">
        <f>F405</f>
        <v>633.601</v>
      </c>
      <c r="E405" s="29">
        <f>F405</f>
        <v>633.601</v>
      </c>
      <c r="F405" s="29">
        <f>ROUND(633.601,3)</f>
        <v>633.601</v>
      </c>
      <c r="G405" s="25"/>
      <c r="H405" s="26"/>
    </row>
    <row r="406" spans="1:8" ht="12.75" customHeight="1">
      <c r="A406" s="23">
        <v>43223</v>
      </c>
      <c r="B406" s="23"/>
      <c r="C406" s="29">
        <f>ROUND(610.698,3)</f>
        <v>610.698</v>
      </c>
      <c r="D406" s="29">
        <f>F406</f>
        <v>645.517</v>
      </c>
      <c r="E406" s="29">
        <f>F406</f>
        <v>645.517</v>
      </c>
      <c r="F406" s="29">
        <f>ROUND(645.517,3)</f>
        <v>645.517</v>
      </c>
      <c r="G406" s="25"/>
      <c r="H406" s="26"/>
    </row>
    <row r="407" spans="1:8" ht="12.75" customHeight="1">
      <c r="A407" s="23" t="s">
        <v>86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42950</v>
      </c>
      <c r="B408" s="23"/>
      <c r="C408" s="29">
        <f>ROUND(546.729,3)</f>
        <v>546.729</v>
      </c>
      <c r="D408" s="29">
        <f>F408</f>
        <v>546.837</v>
      </c>
      <c r="E408" s="29">
        <f>F408</f>
        <v>546.837</v>
      </c>
      <c r="F408" s="29">
        <f>ROUND(546.837,3)</f>
        <v>546.837</v>
      </c>
      <c r="G408" s="25"/>
      <c r="H408" s="26"/>
    </row>
    <row r="409" spans="1:8" ht="12.75" customHeight="1">
      <c r="A409" s="23">
        <v>43041</v>
      </c>
      <c r="B409" s="23"/>
      <c r="C409" s="29">
        <f>ROUND(546.729,3)</f>
        <v>546.729</v>
      </c>
      <c r="D409" s="29">
        <f>F409</f>
        <v>556.899</v>
      </c>
      <c r="E409" s="29">
        <f>F409</f>
        <v>556.899</v>
      </c>
      <c r="F409" s="29">
        <f>ROUND(556.899,3)</f>
        <v>556.899</v>
      </c>
      <c r="G409" s="25"/>
      <c r="H409" s="26"/>
    </row>
    <row r="410" spans="1:8" ht="12.75" customHeight="1">
      <c r="A410" s="23">
        <v>43132</v>
      </c>
      <c r="B410" s="23"/>
      <c r="C410" s="29">
        <f>ROUND(546.729,3)</f>
        <v>546.729</v>
      </c>
      <c r="D410" s="29">
        <f>F410</f>
        <v>567.233</v>
      </c>
      <c r="E410" s="29">
        <f>F410</f>
        <v>567.233</v>
      </c>
      <c r="F410" s="29">
        <f>ROUND(567.233,3)</f>
        <v>567.233</v>
      </c>
      <c r="G410" s="25"/>
      <c r="H410" s="26"/>
    </row>
    <row r="411" spans="1:8" ht="12.75" customHeight="1">
      <c r="A411" s="23">
        <v>43223</v>
      </c>
      <c r="B411" s="23"/>
      <c r="C411" s="29">
        <f>ROUND(546.729,3)</f>
        <v>546.729</v>
      </c>
      <c r="D411" s="29">
        <f>F411</f>
        <v>577.9</v>
      </c>
      <c r="E411" s="29">
        <f>F411</f>
        <v>577.9</v>
      </c>
      <c r="F411" s="29">
        <f>ROUND(577.9,3)</f>
        <v>577.9</v>
      </c>
      <c r="G411" s="25"/>
      <c r="H411" s="26"/>
    </row>
    <row r="412" spans="1:8" ht="12.75" customHeight="1">
      <c r="A412" s="23" t="s">
        <v>87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42950</v>
      </c>
      <c r="B413" s="23"/>
      <c r="C413" s="29">
        <f>ROUND(629.035,3)</f>
        <v>629.035</v>
      </c>
      <c r="D413" s="29">
        <f>F413</f>
        <v>629.159</v>
      </c>
      <c r="E413" s="29">
        <f>F413</f>
        <v>629.159</v>
      </c>
      <c r="F413" s="29">
        <f>ROUND(629.159,3)</f>
        <v>629.159</v>
      </c>
      <c r="G413" s="25"/>
      <c r="H413" s="26"/>
    </row>
    <row r="414" spans="1:8" ht="12.75" customHeight="1">
      <c r="A414" s="23">
        <v>43041</v>
      </c>
      <c r="B414" s="23"/>
      <c r="C414" s="29">
        <f>ROUND(629.035,3)</f>
        <v>629.035</v>
      </c>
      <c r="D414" s="29">
        <f>F414</f>
        <v>640.736</v>
      </c>
      <c r="E414" s="29">
        <f>F414</f>
        <v>640.736</v>
      </c>
      <c r="F414" s="29">
        <f>ROUND(640.736,3)</f>
        <v>640.736</v>
      </c>
      <c r="G414" s="25"/>
      <c r="H414" s="26"/>
    </row>
    <row r="415" spans="1:8" ht="12.75" customHeight="1">
      <c r="A415" s="23">
        <v>43132</v>
      </c>
      <c r="B415" s="23"/>
      <c r="C415" s="29">
        <f>ROUND(629.035,3)</f>
        <v>629.035</v>
      </c>
      <c r="D415" s="29">
        <f>F415</f>
        <v>652.625</v>
      </c>
      <c r="E415" s="29">
        <f>F415</f>
        <v>652.625</v>
      </c>
      <c r="F415" s="29">
        <f>ROUND(652.625,3)</f>
        <v>652.625</v>
      </c>
      <c r="G415" s="25"/>
      <c r="H415" s="26"/>
    </row>
    <row r="416" spans="1:8" ht="12.75" customHeight="1">
      <c r="A416" s="23">
        <v>43223</v>
      </c>
      <c r="B416" s="23"/>
      <c r="C416" s="29">
        <f>ROUND(629.035,3)</f>
        <v>629.035</v>
      </c>
      <c r="D416" s="29">
        <f>F416</f>
        <v>664.899</v>
      </c>
      <c r="E416" s="29">
        <f>F416</f>
        <v>664.899</v>
      </c>
      <c r="F416" s="29">
        <f>ROUND(664.899,3)</f>
        <v>664.899</v>
      </c>
      <c r="G416" s="25"/>
      <c r="H416" s="26"/>
    </row>
    <row r="417" spans="1:8" ht="12.75" customHeight="1">
      <c r="A417" s="23" t="s">
        <v>88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42950</v>
      </c>
      <c r="B418" s="23"/>
      <c r="C418" s="29">
        <f>ROUND(563.737,3)</f>
        <v>563.737</v>
      </c>
      <c r="D418" s="29">
        <f>F418</f>
        <v>563.848</v>
      </c>
      <c r="E418" s="29">
        <f>F418</f>
        <v>563.848</v>
      </c>
      <c r="F418" s="29">
        <f>ROUND(563.848,3)</f>
        <v>563.848</v>
      </c>
      <c r="G418" s="25"/>
      <c r="H418" s="26"/>
    </row>
    <row r="419" spans="1:8" ht="12.75" customHeight="1">
      <c r="A419" s="23">
        <v>43041</v>
      </c>
      <c r="B419" s="23"/>
      <c r="C419" s="29">
        <f>ROUND(563.737,3)</f>
        <v>563.737</v>
      </c>
      <c r="D419" s="29">
        <f>F419</f>
        <v>574.223</v>
      </c>
      <c r="E419" s="29">
        <f>F419</f>
        <v>574.223</v>
      </c>
      <c r="F419" s="29">
        <f>ROUND(574.223,3)</f>
        <v>574.223</v>
      </c>
      <c r="G419" s="25"/>
      <c r="H419" s="26"/>
    </row>
    <row r="420" spans="1:8" ht="12.75" customHeight="1">
      <c r="A420" s="23">
        <v>43132</v>
      </c>
      <c r="B420" s="23"/>
      <c r="C420" s="29">
        <f>ROUND(563.737,3)</f>
        <v>563.737</v>
      </c>
      <c r="D420" s="29">
        <f>F420</f>
        <v>584.879</v>
      </c>
      <c r="E420" s="29">
        <f>F420</f>
        <v>584.879</v>
      </c>
      <c r="F420" s="29">
        <f>ROUND(584.879,3)</f>
        <v>584.879</v>
      </c>
      <c r="G420" s="25"/>
      <c r="H420" s="26"/>
    </row>
    <row r="421" spans="1:8" ht="12.75" customHeight="1">
      <c r="A421" s="23">
        <v>43223</v>
      </c>
      <c r="B421" s="23"/>
      <c r="C421" s="29">
        <f>ROUND(563.737,3)</f>
        <v>563.737</v>
      </c>
      <c r="D421" s="29">
        <f>F421</f>
        <v>595.878</v>
      </c>
      <c r="E421" s="29">
        <f>F421</f>
        <v>595.878</v>
      </c>
      <c r="F421" s="29">
        <f>ROUND(595.878,3)</f>
        <v>595.878</v>
      </c>
      <c r="G421" s="25"/>
      <c r="H421" s="26"/>
    </row>
    <row r="422" spans="1:8" ht="12.75" customHeight="1">
      <c r="A422" s="23" t="s">
        <v>89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42950</v>
      </c>
      <c r="B423" s="23"/>
      <c r="C423" s="29">
        <f>ROUND(246.630086733589,3)</f>
        <v>246.63</v>
      </c>
      <c r="D423" s="29">
        <f>F423</f>
        <v>246.679</v>
      </c>
      <c r="E423" s="29">
        <f>F423</f>
        <v>246.679</v>
      </c>
      <c r="F423" s="29">
        <f>ROUND(246.679,3)</f>
        <v>246.679</v>
      </c>
      <c r="G423" s="25"/>
      <c r="H423" s="26"/>
    </row>
    <row r="424" spans="1:8" ht="12.75" customHeight="1">
      <c r="A424" s="23">
        <v>43041</v>
      </c>
      <c r="B424" s="23"/>
      <c r="C424" s="29">
        <f>ROUND(246.630086733589,3)</f>
        <v>246.63</v>
      </c>
      <c r="D424" s="29">
        <f>F424</f>
        <v>251.311</v>
      </c>
      <c r="E424" s="29">
        <f>F424</f>
        <v>251.311</v>
      </c>
      <c r="F424" s="29">
        <f>ROUND(251.311,3)</f>
        <v>251.311</v>
      </c>
      <c r="G424" s="25"/>
      <c r="H424" s="26"/>
    </row>
    <row r="425" spans="1:8" ht="12.75" customHeight="1">
      <c r="A425" s="23">
        <v>43132</v>
      </c>
      <c r="B425" s="23"/>
      <c r="C425" s="29">
        <f>ROUND(246.630086733589,3)</f>
        <v>246.63</v>
      </c>
      <c r="D425" s="29">
        <f>F425</f>
        <v>256.082</v>
      </c>
      <c r="E425" s="29">
        <f>F425</f>
        <v>256.082</v>
      </c>
      <c r="F425" s="29">
        <f>ROUND(256.082,3)</f>
        <v>256.082</v>
      </c>
      <c r="G425" s="25"/>
      <c r="H425" s="26"/>
    </row>
    <row r="426" spans="1:8" ht="12.75" customHeight="1">
      <c r="A426" s="23">
        <v>43223</v>
      </c>
      <c r="B426" s="23"/>
      <c r="C426" s="29">
        <f>ROUND(246.630086733589,3)</f>
        <v>246.63</v>
      </c>
      <c r="D426" s="29">
        <f>F426</f>
        <v>261.034</v>
      </c>
      <c r="E426" s="29">
        <f>F426</f>
        <v>261.034</v>
      </c>
      <c r="F426" s="29">
        <f>ROUND(261.034,3)</f>
        <v>261.034</v>
      </c>
      <c r="G426" s="25"/>
      <c r="H426" s="26"/>
    </row>
    <row r="427" spans="1:8" ht="12.75" customHeight="1">
      <c r="A427" s="23" t="s">
        <v>90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42950</v>
      </c>
      <c r="B428" s="23"/>
      <c r="C428" s="29">
        <f>ROUND(675.731,3)</f>
        <v>675.731</v>
      </c>
      <c r="D428" s="29">
        <f>F428</f>
        <v>695.694</v>
      </c>
      <c r="E428" s="29">
        <f>F428</f>
        <v>695.694</v>
      </c>
      <c r="F428" s="29">
        <f>ROUND(695.694,3)</f>
        <v>695.694</v>
      </c>
      <c r="G428" s="25"/>
      <c r="H428" s="26"/>
    </row>
    <row r="429" spans="1:8" ht="12.75" customHeight="1">
      <c r="A429" s="23">
        <v>43041</v>
      </c>
      <c r="B429" s="23"/>
      <c r="C429" s="29">
        <f>ROUND(675.731,3)</f>
        <v>675.731</v>
      </c>
      <c r="D429" s="29">
        <f>F429</f>
        <v>709.665</v>
      </c>
      <c r="E429" s="29">
        <f>F429</f>
        <v>709.665</v>
      </c>
      <c r="F429" s="29">
        <f>ROUND(709.665,3)</f>
        <v>709.665</v>
      </c>
      <c r="G429" s="25"/>
      <c r="H429" s="26"/>
    </row>
    <row r="430" spans="1:8" ht="12.75" customHeight="1">
      <c r="A430" s="23">
        <v>43132</v>
      </c>
      <c r="B430" s="23"/>
      <c r="C430" s="29">
        <f>ROUND(675.731,3)</f>
        <v>675.731</v>
      </c>
      <c r="D430" s="29">
        <f>F430</f>
        <v>724.173</v>
      </c>
      <c r="E430" s="29">
        <f>F430</f>
        <v>724.173</v>
      </c>
      <c r="F430" s="29">
        <f>ROUND(724.173,3)</f>
        <v>724.173</v>
      </c>
      <c r="G430" s="25"/>
      <c r="H430" s="26"/>
    </row>
    <row r="431" spans="1:8" ht="12.75" customHeight="1">
      <c r="A431" s="23" t="s">
        <v>91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42996</v>
      </c>
      <c r="B432" s="23"/>
      <c r="C432" s="25">
        <f>ROUND(23478.8351101253,2)</f>
        <v>23478.84</v>
      </c>
      <c r="D432" s="25">
        <f>F432</f>
        <v>23670.11</v>
      </c>
      <c r="E432" s="25">
        <f>F432</f>
        <v>23670.11</v>
      </c>
      <c r="F432" s="25">
        <f>ROUND(23670.11,2)</f>
        <v>23670.11</v>
      </c>
      <c r="G432" s="25"/>
      <c r="H432" s="26"/>
    </row>
    <row r="433" spans="1:8" ht="12.75" customHeight="1">
      <c r="A433" s="23">
        <v>43087</v>
      </c>
      <c r="B433" s="23"/>
      <c r="C433" s="25">
        <f>ROUND(23478.8351101253,2)</f>
        <v>23478.84</v>
      </c>
      <c r="D433" s="25">
        <f>F433</f>
        <v>24057.94</v>
      </c>
      <c r="E433" s="25">
        <f>F433</f>
        <v>24057.94</v>
      </c>
      <c r="F433" s="25">
        <f>ROUND(24057.94,2)</f>
        <v>24057.94</v>
      </c>
      <c r="G433" s="25"/>
      <c r="H433" s="26"/>
    </row>
    <row r="434" spans="1:8" ht="12.75" customHeight="1">
      <c r="A434" s="23">
        <v>43178</v>
      </c>
      <c r="B434" s="23"/>
      <c r="C434" s="25">
        <f>ROUND(23478.8351101253,2)</f>
        <v>23478.84</v>
      </c>
      <c r="D434" s="25">
        <f>F434</f>
        <v>24446.72</v>
      </c>
      <c r="E434" s="25">
        <f>F434</f>
        <v>24446.72</v>
      </c>
      <c r="F434" s="25">
        <f>ROUND(24446.72,2)</f>
        <v>24446.72</v>
      </c>
      <c r="G434" s="25"/>
      <c r="H434" s="26"/>
    </row>
    <row r="435" spans="1:8" ht="12.75" customHeight="1">
      <c r="A435" s="23" t="s">
        <v>92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42963</v>
      </c>
      <c r="B436" s="23"/>
      <c r="C436" s="29">
        <f>ROUND(7.067,3)</f>
        <v>7.067</v>
      </c>
      <c r="D436" s="29">
        <f>ROUND(7.11,3)</f>
        <v>7.11</v>
      </c>
      <c r="E436" s="29">
        <f>ROUND(7.01,3)</f>
        <v>7.01</v>
      </c>
      <c r="F436" s="29">
        <f>ROUND(7.06,3)</f>
        <v>7.06</v>
      </c>
      <c r="G436" s="25"/>
      <c r="H436" s="26"/>
    </row>
    <row r="437" spans="1:8" ht="12.75" customHeight="1">
      <c r="A437" s="23">
        <v>42998</v>
      </c>
      <c r="B437" s="23"/>
      <c r="C437" s="29">
        <f>ROUND(7.067,3)</f>
        <v>7.067</v>
      </c>
      <c r="D437" s="29">
        <f>ROUND(6.98,3)</f>
        <v>6.98</v>
      </c>
      <c r="E437" s="29">
        <f>ROUND(6.88,3)</f>
        <v>6.88</v>
      </c>
      <c r="F437" s="29">
        <f>ROUND(6.93,3)</f>
        <v>6.93</v>
      </c>
      <c r="G437" s="25"/>
      <c r="H437" s="26"/>
    </row>
    <row r="438" spans="1:8" ht="12.75" customHeight="1">
      <c r="A438" s="23">
        <v>43026</v>
      </c>
      <c r="B438" s="23"/>
      <c r="C438" s="29">
        <f>ROUND(7.067,3)</f>
        <v>7.067</v>
      </c>
      <c r="D438" s="29">
        <f>ROUND(6.95,3)</f>
        <v>6.95</v>
      </c>
      <c r="E438" s="29">
        <f>ROUND(6.85,3)</f>
        <v>6.85</v>
      </c>
      <c r="F438" s="29">
        <f>ROUND(6.9,3)</f>
        <v>6.9</v>
      </c>
      <c r="G438" s="25"/>
      <c r="H438" s="26"/>
    </row>
    <row r="439" spans="1:8" ht="12.75" customHeight="1">
      <c r="A439" s="23">
        <v>43054</v>
      </c>
      <c r="B439" s="23"/>
      <c r="C439" s="29">
        <f>ROUND(7.067,3)</f>
        <v>7.067</v>
      </c>
      <c r="D439" s="29">
        <f>ROUND(6.87,3)</f>
        <v>6.87</v>
      </c>
      <c r="E439" s="29">
        <f>ROUND(6.77,3)</f>
        <v>6.77</v>
      </c>
      <c r="F439" s="29">
        <f>ROUND(6.82,3)</f>
        <v>6.82</v>
      </c>
      <c r="G439" s="25"/>
      <c r="H439" s="26"/>
    </row>
    <row r="440" spans="1:8" ht="12.75" customHeight="1">
      <c r="A440" s="23">
        <v>43089</v>
      </c>
      <c r="B440" s="23"/>
      <c r="C440" s="29">
        <f>ROUND(7.067,3)</f>
        <v>7.067</v>
      </c>
      <c r="D440" s="29">
        <f>ROUND(6.81,3)</f>
        <v>6.81</v>
      </c>
      <c r="E440" s="29">
        <f>ROUND(6.71,3)</f>
        <v>6.71</v>
      </c>
      <c r="F440" s="29">
        <f>ROUND(6.76,3)</f>
        <v>6.76</v>
      </c>
      <c r="G440" s="25"/>
      <c r="H440" s="26"/>
    </row>
    <row r="441" spans="1:8" ht="12.75" customHeight="1">
      <c r="A441" s="23">
        <v>43117</v>
      </c>
      <c r="B441" s="23"/>
      <c r="C441" s="29">
        <f>ROUND(7.067,3)</f>
        <v>7.067</v>
      </c>
      <c r="D441" s="29">
        <f>ROUND(6.78,3)</f>
        <v>6.78</v>
      </c>
      <c r="E441" s="29">
        <f>ROUND(6.68,3)</f>
        <v>6.68</v>
      </c>
      <c r="F441" s="29">
        <f>ROUND(6.73,3)</f>
        <v>6.73</v>
      </c>
      <c r="G441" s="25"/>
      <c r="H441" s="26"/>
    </row>
    <row r="442" spans="1:8" ht="12.75" customHeight="1">
      <c r="A442" s="23">
        <v>43179</v>
      </c>
      <c r="B442" s="23"/>
      <c r="C442" s="29">
        <f>ROUND(7.067,3)</f>
        <v>7.067</v>
      </c>
      <c r="D442" s="29">
        <f>ROUND(6.71,3)</f>
        <v>6.71</v>
      </c>
      <c r="E442" s="29">
        <f>ROUND(6.61,3)</f>
        <v>6.61</v>
      </c>
      <c r="F442" s="29">
        <f>ROUND(6.66,3)</f>
        <v>6.66</v>
      </c>
      <c r="G442" s="25"/>
      <c r="H442" s="26"/>
    </row>
    <row r="443" spans="1:8" ht="12.75" customHeight="1">
      <c r="A443" s="23">
        <v>43269</v>
      </c>
      <c r="B443" s="23"/>
      <c r="C443" s="29">
        <f>ROUND(7.067,3)</f>
        <v>7.067</v>
      </c>
      <c r="D443" s="29">
        <f>ROUND(7.51,3)</f>
        <v>7.51</v>
      </c>
      <c r="E443" s="29">
        <f>ROUND(7.41,3)</f>
        <v>7.41</v>
      </c>
      <c r="F443" s="29">
        <f>ROUND(7.46,3)</f>
        <v>7.46</v>
      </c>
      <c r="G443" s="25"/>
      <c r="H443" s="26"/>
    </row>
    <row r="444" spans="1:8" ht="12.75" customHeight="1">
      <c r="A444" s="23">
        <v>43271</v>
      </c>
      <c r="B444" s="23"/>
      <c r="C444" s="29">
        <f>ROUND(7.067,3)</f>
        <v>7.067</v>
      </c>
      <c r="D444" s="29">
        <f>ROUND(6.68,3)</f>
        <v>6.68</v>
      </c>
      <c r="E444" s="29">
        <f>ROUND(6.58,3)</f>
        <v>6.58</v>
      </c>
      <c r="F444" s="29">
        <f>ROUND(6.63,3)</f>
        <v>6.63</v>
      </c>
      <c r="G444" s="25"/>
      <c r="H444" s="26"/>
    </row>
    <row r="445" spans="1:8" ht="12.75" customHeight="1">
      <c r="A445" s="23">
        <v>43362</v>
      </c>
      <c r="B445" s="23"/>
      <c r="C445" s="29">
        <f>ROUND(7.067,3)</f>
        <v>7.067</v>
      </c>
      <c r="D445" s="29">
        <f>ROUND(6.7,3)</f>
        <v>6.7</v>
      </c>
      <c r="E445" s="29">
        <f>ROUND(6.6,3)</f>
        <v>6.6</v>
      </c>
      <c r="F445" s="29">
        <f>ROUND(6.65,3)</f>
        <v>6.65</v>
      </c>
      <c r="G445" s="25"/>
      <c r="H445" s="26"/>
    </row>
    <row r="446" spans="1:8" ht="12.75" customHeight="1">
      <c r="A446" s="23">
        <v>43453</v>
      </c>
      <c r="B446" s="23"/>
      <c r="C446" s="29">
        <f>ROUND(7.067,3)</f>
        <v>7.067</v>
      </c>
      <c r="D446" s="29">
        <f>ROUND(6.75,3)</f>
        <v>6.75</v>
      </c>
      <c r="E446" s="29">
        <f>ROUND(6.65,3)</f>
        <v>6.65</v>
      </c>
      <c r="F446" s="29">
        <f>ROUND(6.7,3)</f>
        <v>6.7</v>
      </c>
      <c r="G446" s="25"/>
      <c r="H446" s="26"/>
    </row>
    <row r="447" spans="1:8" ht="12.75" customHeight="1">
      <c r="A447" s="23">
        <v>43544</v>
      </c>
      <c r="B447" s="23"/>
      <c r="C447" s="29">
        <f>ROUND(7.067,3)</f>
        <v>7.067</v>
      </c>
      <c r="D447" s="29">
        <f>ROUND(6.82,3)</f>
        <v>6.82</v>
      </c>
      <c r="E447" s="29">
        <f>ROUND(6.72,3)</f>
        <v>6.72</v>
      </c>
      <c r="F447" s="29">
        <f>ROUND(6.77,3)</f>
        <v>6.77</v>
      </c>
      <c r="G447" s="25"/>
      <c r="H447" s="26"/>
    </row>
    <row r="448" spans="1:8" ht="12.75" customHeight="1">
      <c r="A448" s="23">
        <v>43635</v>
      </c>
      <c r="B448" s="23"/>
      <c r="C448" s="29">
        <f>ROUND(7.067,3)</f>
        <v>7.067</v>
      </c>
      <c r="D448" s="29">
        <f>ROUND(6.88,3)</f>
        <v>6.88</v>
      </c>
      <c r="E448" s="29">
        <f>ROUND(6.78,3)</f>
        <v>6.78</v>
      </c>
      <c r="F448" s="29">
        <f>ROUND(6.83,3)</f>
        <v>6.83</v>
      </c>
      <c r="G448" s="25"/>
      <c r="H448" s="26"/>
    </row>
    <row r="449" spans="1:8" ht="12.75" customHeight="1">
      <c r="A449" s="23" t="s">
        <v>93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42950</v>
      </c>
      <c r="B450" s="23"/>
      <c r="C450" s="29">
        <f>ROUND(562.596,3)</f>
        <v>562.596</v>
      </c>
      <c r="D450" s="29">
        <f>F450</f>
        <v>562.707</v>
      </c>
      <c r="E450" s="29">
        <f>F450</f>
        <v>562.707</v>
      </c>
      <c r="F450" s="29">
        <f>ROUND(562.707,3)</f>
        <v>562.707</v>
      </c>
      <c r="G450" s="25"/>
      <c r="H450" s="26"/>
    </row>
    <row r="451" spans="1:8" ht="12.75" customHeight="1">
      <c r="A451" s="23">
        <v>43041</v>
      </c>
      <c r="B451" s="23"/>
      <c r="C451" s="29">
        <f>ROUND(562.596,3)</f>
        <v>562.596</v>
      </c>
      <c r="D451" s="29">
        <f>F451</f>
        <v>573.061</v>
      </c>
      <c r="E451" s="29">
        <f>F451</f>
        <v>573.061</v>
      </c>
      <c r="F451" s="29">
        <f>ROUND(573.061,3)</f>
        <v>573.061</v>
      </c>
      <c r="G451" s="25"/>
      <c r="H451" s="26"/>
    </row>
    <row r="452" spans="1:8" ht="12.75" customHeight="1">
      <c r="A452" s="23">
        <v>43132</v>
      </c>
      <c r="B452" s="23"/>
      <c r="C452" s="29">
        <f>ROUND(562.596,3)</f>
        <v>562.596</v>
      </c>
      <c r="D452" s="29">
        <f>F452</f>
        <v>583.695</v>
      </c>
      <c r="E452" s="29">
        <f>F452</f>
        <v>583.695</v>
      </c>
      <c r="F452" s="29">
        <f>ROUND(583.695,3)</f>
        <v>583.695</v>
      </c>
      <c r="G452" s="25"/>
      <c r="H452" s="26"/>
    </row>
    <row r="453" spans="1:8" ht="12.75" customHeight="1">
      <c r="A453" s="23">
        <v>43223</v>
      </c>
      <c r="B453" s="23"/>
      <c r="C453" s="29">
        <f>ROUND(562.596,3)</f>
        <v>562.596</v>
      </c>
      <c r="D453" s="29">
        <f>F453</f>
        <v>594.672</v>
      </c>
      <c r="E453" s="29">
        <f>F453</f>
        <v>594.672</v>
      </c>
      <c r="F453" s="29">
        <f>ROUND(594.672,3)</f>
        <v>594.672</v>
      </c>
      <c r="G453" s="25"/>
      <c r="H453" s="26"/>
    </row>
    <row r="454" spans="1:8" ht="12.75" customHeight="1">
      <c r="A454" s="23" t="s">
        <v>94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42999</v>
      </c>
      <c r="B455" s="23"/>
      <c r="C455" s="24">
        <f>ROUND(99.7939828101024,5)</f>
        <v>99.79398</v>
      </c>
      <c r="D455" s="24">
        <f>F455</f>
        <v>99.61253</v>
      </c>
      <c r="E455" s="24">
        <f>F455</f>
        <v>99.61253</v>
      </c>
      <c r="F455" s="24">
        <f>ROUND(99.6125310086946,5)</f>
        <v>99.61253</v>
      </c>
      <c r="G455" s="25"/>
      <c r="H455" s="26"/>
    </row>
    <row r="456" spans="1:8" ht="12.75" customHeight="1">
      <c r="A456" s="23" t="s">
        <v>95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43090</v>
      </c>
      <c r="B457" s="23"/>
      <c r="C457" s="24">
        <f>ROUND(99.7939828101024,5)</f>
        <v>99.79398</v>
      </c>
      <c r="D457" s="24">
        <f>F457</f>
        <v>99.76332</v>
      </c>
      <c r="E457" s="24">
        <f>F457</f>
        <v>99.76332</v>
      </c>
      <c r="F457" s="24">
        <f>ROUND(99.7633161701263,5)</f>
        <v>99.76332</v>
      </c>
      <c r="G457" s="25"/>
      <c r="H457" s="26"/>
    </row>
    <row r="458" spans="1:8" ht="12.75" customHeight="1">
      <c r="A458" s="23" t="s">
        <v>96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43174</v>
      </c>
      <c r="B459" s="23"/>
      <c r="C459" s="24">
        <f>ROUND(99.7939828101024,5)</f>
        <v>99.79398</v>
      </c>
      <c r="D459" s="24">
        <f>F459</f>
        <v>99.63972</v>
      </c>
      <c r="E459" s="24">
        <f>F459</f>
        <v>99.63972</v>
      </c>
      <c r="F459" s="24">
        <f>ROUND(99.6397150639626,5)</f>
        <v>99.63972</v>
      </c>
      <c r="G459" s="25"/>
      <c r="H459" s="26"/>
    </row>
    <row r="460" spans="1:8" ht="12.75" customHeight="1">
      <c r="A460" s="23" t="s">
        <v>97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43272</v>
      </c>
      <c r="B461" s="23"/>
      <c r="C461" s="24">
        <f>ROUND(99.7939828101024,5)</f>
        <v>99.79398</v>
      </c>
      <c r="D461" s="24">
        <f>F461</f>
        <v>99.70033</v>
      </c>
      <c r="E461" s="24">
        <f>F461</f>
        <v>99.70033</v>
      </c>
      <c r="F461" s="24">
        <f>ROUND(99.7003299226833,5)</f>
        <v>99.70033</v>
      </c>
      <c r="G461" s="25"/>
      <c r="H461" s="26"/>
    </row>
    <row r="462" spans="1:8" ht="12.75" customHeight="1">
      <c r="A462" s="23" t="s">
        <v>98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43363</v>
      </c>
      <c r="B463" s="23"/>
      <c r="C463" s="24">
        <f>ROUND(99.7939828101024,5)</f>
        <v>99.79398</v>
      </c>
      <c r="D463" s="24">
        <f>F463</f>
        <v>99.79398</v>
      </c>
      <c r="E463" s="24">
        <f>F463</f>
        <v>99.79398</v>
      </c>
      <c r="F463" s="24">
        <f>ROUND(99.7939828101024,5)</f>
        <v>99.79398</v>
      </c>
      <c r="G463" s="25"/>
      <c r="H463" s="26"/>
    </row>
    <row r="464" spans="1:8" ht="12.75" customHeight="1">
      <c r="A464" s="23" t="s">
        <v>99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43087</v>
      </c>
      <c r="B465" s="23"/>
      <c r="C465" s="24">
        <f>ROUND(99.5361935980189,5)</f>
        <v>99.53619</v>
      </c>
      <c r="D465" s="24">
        <f>F465</f>
        <v>99.79528</v>
      </c>
      <c r="E465" s="24">
        <f>F465</f>
        <v>99.79528</v>
      </c>
      <c r="F465" s="24">
        <f>ROUND(99.7952849503097,5)</f>
        <v>99.79528</v>
      </c>
      <c r="G465" s="25"/>
      <c r="H465" s="26"/>
    </row>
    <row r="466" spans="1:8" ht="12.75" customHeight="1">
      <c r="A466" s="23" t="s">
        <v>100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43175</v>
      </c>
      <c r="B467" s="23"/>
      <c r="C467" s="24">
        <f>ROUND(99.5361935980189,5)</f>
        <v>99.53619</v>
      </c>
      <c r="D467" s="24">
        <f>F467</f>
        <v>98.91712</v>
      </c>
      <c r="E467" s="24">
        <f>F467</f>
        <v>98.91712</v>
      </c>
      <c r="F467" s="24">
        <f>ROUND(98.9171231968359,5)</f>
        <v>98.91712</v>
      </c>
      <c r="G467" s="25"/>
      <c r="H467" s="26"/>
    </row>
    <row r="468" spans="1:8" ht="12.75" customHeight="1">
      <c r="A468" s="23" t="s">
        <v>101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43266</v>
      </c>
      <c r="B469" s="23"/>
      <c r="C469" s="24">
        <f>ROUND(99.5361935980189,5)</f>
        <v>99.53619</v>
      </c>
      <c r="D469" s="24">
        <f>F469</f>
        <v>98.39685</v>
      </c>
      <c r="E469" s="24">
        <f>F469</f>
        <v>98.39685</v>
      </c>
      <c r="F469" s="24">
        <f>ROUND(98.3968521685247,5)</f>
        <v>98.39685</v>
      </c>
      <c r="G469" s="25"/>
      <c r="H469" s="26"/>
    </row>
    <row r="470" spans="1:8" ht="12.75" customHeight="1">
      <c r="A470" s="23" t="s">
        <v>102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43364</v>
      </c>
      <c r="B471" s="23"/>
      <c r="C471" s="24">
        <f>ROUND(99.5361935980189,5)</f>
        <v>99.53619</v>
      </c>
      <c r="D471" s="24">
        <f>F471</f>
        <v>98.25896</v>
      </c>
      <c r="E471" s="24">
        <f>F471</f>
        <v>98.25896</v>
      </c>
      <c r="F471" s="24">
        <f>ROUND(98.2589646372823,5)</f>
        <v>98.25896</v>
      </c>
      <c r="G471" s="25"/>
      <c r="H471" s="26"/>
    </row>
    <row r="472" spans="1:8" ht="12.75" customHeight="1">
      <c r="A472" s="23" t="s">
        <v>103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43455</v>
      </c>
      <c r="B473" s="23"/>
      <c r="C473" s="25">
        <f>ROUND(99.5361935980189,2)</f>
        <v>99.54</v>
      </c>
      <c r="D473" s="25">
        <f>F473</f>
        <v>98.55</v>
      </c>
      <c r="E473" s="25">
        <f>F473</f>
        <v>98.55</v>
      </c>
      <c r="F473" s="25">
        <f>ROUND(98.5479615630658,2)</f>
        <v>98.55</v>
      </c>
      <c r="G473" s="25"/>
      <c r="H473" s="26"/>
    </row>
    <row r="474" spans="1:8" ht="12.75" customHeight="1">
      <c r="A474" s="23" t="s">
        <v>104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43539</v>
      </c>
      <c r="B475" s="23"/>
      <c r="C475" s="24">
        <f>ROUND(99.5361935980189,5)</f>
        <v>99.53619</v>
      </c>
      <c r="D475" s="24">
        <f>F475</f>
        <v>98.8647</v>
      </c>
      <c r="E475" s="24">
        <f>F475</f>
        <v>98.8647</v>
      </c>
      <c r="F475" s="24">
        <f>ROUND(98.8647046967591,5)</f>
        <v>98.8647</v>
      </c>
      <c r="G475" s="25"/>
      <c r="H475" s="26"/>
    </row>
    <row r="476" spans="1:8" ht="12.75" customHeight="1">
      <c r="A476" s="23" t="s">
        <v>105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43637</v>
      </c>
      <c r="B477" s="23"/>
      <c r="C477" s="24">
        <f>ROUND(99.5361935980189,5)</f>
        <v>99.53619</v>
      </c>
      <c r="D477" s="24">
        <f>F477</f>
        <v>99.18427</v>
      </c>
      <c r="E477" s="24">
        <f>F477</f>
        <v>99.18427</v>
      </c>
      <c r="F477" s="24">
        <f>ROUND(99.1842703220063,5)</f>
        <v>99.18427</v>
      </c>
      <c r="G477" s="25"/>
      <c r="H477" s="26"/>
    </row>
    <row r="478" spans="1:8" ht="12.75" customHeight="1">
      <c r="A478" s="23" t="s">
        <v>106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43728</v>
      </c>
      <c r="B479" s="23"/>
      <c r="C479" s="24">
        <f>ROUND(99.5361935980189,5)</f>
        <v>99.53619</v>
      </c>
      <c r="D479" s="24">
        <f>F479</f>
        <v>99.53619</v>
      </c>
      <c r="E479" s="24">
        <f>F479</f>
        <v>99.53619</v>
      </c>
      <c r="F479" s="24">
        <f>ROUND(99.5361935980189,5)</f>
        <v>99.53619</v>
      </c>
      <c r="G479" s="25"/>
      <c r="H479" s="26"/>
    </row>
    <row r="480" spans="1:8" ht="12.75" customHeight="1">
      <c r="A480" s="23" t="s">
        <v>107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44182</v>
      </c>
      <c r="B481" s="23"/>
      <c r="C481" s="24">
        <f>ROUND(99.7551506456448,5)</f>
        <v>99.75515</v>
      </c>
      <c r="D481" s="24">
        <f>F481</f>
        <v>95.55477</v>
      </c>
      <c r="E481" s="24">
        <f>F481</f>
        <v>95.55477</v>
      </c>
      <c r="F481" s="24">
        <f>ROUND(95.5547748207733,5)</f>
        <v>95.55477</v>
      </c>
      <c r="G481" s="25"/>
      <c r="H481" s="26"/>
    </row>
    <row r="482" spans="1:8" ht="12.75" customHeight="1">
      <c r="A482" s="23" t="s">
        <v>108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44271</v>
      </c>
      <c r="B483" s="23"/>
      <c r="C483" s="24">
        <f>ROUND(99.7551506456448,5)</f>
        <v>99.75515</v>
      </c>
      <c r="D483" s="24">
        <f>F483</f>
        <v>94.75939</v>
      </c>
      <c r="E483" s="24">
        <f>F483</f>
        <v>94.75939</v>
      </c>
      <c r="F483" s="24">
        <f>ROUND(94.759386276346,5)</f>
        <v>94.75939</v>
      </c>
      <c r="G483" s="25"/>
      <c r="H483" s="26"/>
    </row>
    <row r="484" spans="1:8" ht="12.75" customHeight="1">
      <c r="A484" s="23" t="s">
        <v>109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44362</v>
      </c>
      <c r="B485" s="23"/>
      <c r="C485" s="24">
        <f>ROUND(99.7551506456448,5)</f>
        <v>99.75515</v>
      </c>
      <c r="D485" s="24">
        <f>F485</f>
        <v>93.93824</v>
      </c>
      <c r="E485" s="24">
        <f>F485</f>
        <v>93.93824</v>
      </c>
      <c r="F485" s="24">
        <f>ROUND(93.9382367725001,5)</f>
        <v>93.93824</v>
      </c>
      <c r="G485" s="25"/>
      <c r="H485" s="26"/>
    </row>
    <row r="486" spans="1:8" ht="12.75" customHeight="1">
      <c r="A486" s="23" t="s">
        <v>110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44460</v>
      </c>
      <c r="B487" s="23"/>
      <c r="C487" s="24">
        <f>ROUND(99.7551506456448,5)</f>
        <v>99.75515</v>
      </c>
      <c r="D487" s="24">
        <f>F487</f>
        <v>94.09196</v>
      </c>
      <c r="E487" s="24">
        <f>F487</f>
        <v>94.09196</v>
      </c>
      <c r="F487" s="24">
        <f>ROUND(94.0919626697889,5)</f>
        <v>94.09196</v>
      </c>
      <c r="G487" s="25"/>
      <c r="H487" s="26"/>
    </row>
    <row r="488" spans="1:8" ht="12.75" customHeight="1">
      <c r="A488" s="23" t="s">
        <v>111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44551</v>
      </c>
      <c r="B489" s="23"/>
      <c r="C489" s="24">
        <f>ROUND(99.7551506456448,5)</f>
        <v>99.75515</v>
      </c>
      <c r="D489" s="24">
        <f>F489</f>
        <v>96.26209</v>
      </c>
      <c r="E489" s="24">
        <f>F489</f>
        <v>96.26209</v>
      </c>
      <c r="F489" s="24">
        <f>ROUND(96.2620916944918,5)</f>
        <v>96.26209</v>
      </c>
      <c r="G489" s="25"/>
      <c r="H489" s="26"/>
    </row>
    <row r="490" spans="1:8" ht="12.75" customHeight="1">
      <c r="A490" s="23" t="s">
        <v>112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44635</v>
      </c>
      <c r="B491" s="23"/>
      <c r="C491" s="24">
        <f>ROUND(99.7551506456448,5)</f>
        <v>99.75515</v>
      </c>
      <c r="D491" s="24">
        <f>F491</f>
        <v>96.36984</v>
      </c>
      <c r="E491" s="24">
        <f>F491</f>
        <v>96.36984</v>
      </c>
      <c r="F491" s="24">
        <f>ROUND(96.3698441819188,5)</f>
        <v>96.36984</v>
      </c>
      <c r="G491" s="25"/>
      <c r="H491" s="26"/>
    </row>
    <row r="492" spans="1:8" ht="12.75" customHeight="1">
      <c r="A492" s="23" t="s">
        <v>113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44733</v>
      </c>
      <c r="B493" s="23"/>
      <c r="C493" s="24">
        <f>ROUND(99.7551506456448,5)</f>
        <v>99.75515</v>
      </c>
      <c r="D493" s="24">
        <f>F493</f>
        <v>97.55065</v>
      </c>
      <c r="E493" s="24">
        <f>F493</f>
        <v>97.55065</v>
      </c>
      <c r="F493" s="24">
        <f>ROUND(97.5506489048078,5)</f>
        <v>97.55065</v>
      </c>
      <c r="G493" s="25"/>
      <c r="H493" s="26"/>
    </row>
    <row r="494" spans="1:8" ht="12.75" customHeight="1">
      <c r="A494" s="23" t="s">
        <v>114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44824</v>
      </c>
      <c r="B495" s="23"/>
      <c r="C495" s="24">
        <f>ROUND(99.7551506456448,5)</f>
        <v>99.75515</v>
      </c>
      <c r="D495" s="24">
        <f>F495</f>
        <v>99.75515</v>
      </c>
      <c r="E495" s="24">
        <f>F495</f>
        <v>99.75515</v>
      </c>
      <c r="F495" s="24">
        <f>ROUND(99.7551506456448,5)</f>
        <v>99.75515</v>
      </c>
      <c r="G495" s="25"/>
      <c r="H495" s="26"/>
    </row>
    <row r="496" spans="1:8" ht="12.75" customHeight="1">
      <c r="A496" s="23" t="s">
        <v>115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46008</v>
      </c>
      <c r="B497" s="23"/>
      <c r="C497" s="24">
        <f>ROUND(100.721298704708,5)</f>
        <v>100.7213</v>
      </c>
      <c r="D497" s="24">
        <f>F497</f>
        <v>94.55122</v>
      </c>
      <c r="E497" s="24">
        <f>F497</f>
        <v>94.55122</v>
      </c>
      <c r="F497" s="24">
        <f>ROUND(94.5512188202227,5)</f>
        <v>94.55122</v>
      </c>
      <c r="G497" s="25"/>
      <c r="H497" s="26"/>
    </row>
    <row r="498" spans="1:8" ht="12.75" customHeight="1">
      <c r="A498" s="23" t="s">
        <v>116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46097</v>
      </c>
      <c r="B499" s="23"/>
      <c r="C499" s="24">
        <f>ROUND(100.721298704708,5)</f>
        <v>100.7213</v>
      </c>
      <c r="D499" s="24">
        <f>F499</f>
        <v>91.57216</v>
      </c>
      <c r="E499" s="24">
        <f>F499</f>
        <v>91.57216</v>
      </c>
      <c r="F499" s="24">
        <f>ROUND(91.5721634979754,5)</f>
        <v>91.57216</v>
      </c>
      <c r="G499" s="25"/>
      <c r="H499" s="26"/>
    </row>
    <row r="500" spans="1:8" ht="12.75" customHeight="1">
      <c r="A500" s="23" t="s">
        <v>117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46188</v>
      </c>
      <c r="B501" s="23"/>
      <c r="C501" s="24">
        <f>ROUND(100.721298704708,5)</f>
        <v>100.7213</v>
      </c>
      <c r="D501" s="24">
        <f>F501</f>
        <v>90.3394</v>
      </c>
      <c r="E501" s="24">
        <f>F501</f>
        <v>90.3394</v>
      </c>
      <c r="F501" s="24">
        <f>ROUND(90.3393979150553,5)</f>
        <v>90.3394</v>
      </c>
      <c r="G501" s="25"/>
      <c r="H501" s="26"/>
    </row>
    <row r="502" spans="1:8" ht="12.75" customHeight="1">
      <c r="A502" s="23" t="s">
        <v>118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46286</v>
      </c>
      <c r="B503" s="23"/>
      <c r="C503" s="24">
        <f>ROUND(100.721298704708,5)</f>
        <v>100.7213</v>
      </c>
      <c r="D503" s="24">
        <f>F503</f>
        <v>92.52341</v>
      </c>
      <c r="E503" s="24">
        <f>F503</f>
        <v>92.52341</v>
      </c>
      <c r="F503" s="24">
        <f>ROUND(92.5234123213008,5)</f>
        <v>92.52341</v>
      </c>
      <c r="G503" s="25"/>
      <c r="H503" s="26"/>
    </row>
    <row r="504" spans="1:8" ht="12.75" customHeight="1">
      <c r="A504" s="23" t="s">
        <v>119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46377</v>
      </c>
      <c r="B505" s="23"/>
      <c r="C505" s="24">
        <f>ROUND(100.721298704708,5)</f>
        <v>100.7213</v>
      </c>
      <c r="D505" s="24">
        <f>F505</f>
        <v>96.32552</v>
      </c>
      <c r="E505" s="24">
        <f>F505</f>
        <v>96.32552</v>
      </c>
      <c r="F505" s="24">
        <f>ROUND(96.325516473718,5)</f>
        <v>96.32552</v>
      </c>
      <c r="G505" s="25"/>
      <c r="H505" s="26"/>
    </row>
    <row r="506" spans="1:8" ht="12.75" customHeight="1">
      <c r="A506" s="23" t="s">
        <v>120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46461</v>
      </c>
      <c r="B507" s="23"/>
      <c r="C507" s="24">
        <f>ROUND(100.721298704708,5)</f>
        <v>100.7213</v>
      </c>
      <c r="D507" s="24">
        <f>F507</f>
        <v>94.89856</v>
      </c>
      <c r="E507" s="24">
        <f>F507</f>
        <v>94.89856</v>
      </c>
      <c r="F507" s="24">
        <f>ROUND(94.8985580311149,5)</f>
        <v>94.89856</v>
      </c>
      <c r="G507" s="25"/>
      <c r="H507" s="26"/>
    </row>
    <row r="508" spans="1:8" ht="12.75" customHeight="1">
      <c r="A508" s="23" t="s">
        <v>121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46559</v>
      </c>
      <c r="B509" s="23"/>
      <c r="C509" s="24">
        <f>ROUND(100.721298704708,5)</f>
        <v>100.7213</v>
      </c>
      <c r="D509" s="24">
        <f>F509</f>
        <v>96.98459</v>
      </c>
      <c r="E509" s="24">
        <f>F509</f>
        <v>96.98459</v>
      </c>
      <c r="F509" s="24">
        <f>ROUND(96.9845934777209,5)</f>
        <v>96.98459</v>
      </c>
      <c r="G509" s="25"/>
      <c r="H509" s="26"/>
    </row>
    <row r="510" spans="1:8" ht="12.75" customHeight="1">
      <c r="A510" s="23" t="s">
        <v>122</v>
      </c>
      <c r="B510" s="23"/>
      <c r="C510" s="27"/>
      <c r="D510" s="27"/>
      <c r="E510" s="27"/>
      <c r="F510" s="27"/>
      <c r="G510" s="25"/>
      <c r="H510" s="26"/>
    </row>
    <row r="511" spans="1:8" ht="12.75" customHeight="1" thickBot="1">
      <c r="A511" s="31">
        <v>46650</v>
      </c>
      <c r="B511" s="31"/>
      <c r="C511" s="32">
        <f>ROUND(100.721298704708,5)</f>
        <v>100.7213</v>
      </c>
      <c r="D511" s="32">
        <f>F511</f>
        <v>100.7213</v>
      </c>
      <c r="E511" s="32">
        <f>F511</f>
        <v>100.7213</v>
      </c>
      <c r="F511" s="32">
        <f>ROUND(100.721298704708,5)</f>
        <v>100.7213</v>
      </c>
      <c r="G511" s="33"/>
      <c r="H511" s="34"/>
    </row>
  </sheetData>
  <sheetProtection/>
  <mergeCells count="510">
    <mergeCell ref="A508:B508"/>
    <mergeCell ref="A509:B509"/>
    <mergeCell ref="A510:B510"/>
    <mergeCell ref="A511:B511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2017-08-02T15:59:36Z</dcterms:modified>
  <cp:category/>
  <cp:version/>
  <cp:contentType/>
  <cp:contentStatus/>
</cp:coreProperties>
</file>