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'Jerry'!$A$1:$H$511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<sst xmlns="http://schemas.openxmlformats.org/spreadsheetml/2006/main" count="122" uniqueCount="122">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</sst>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SheetLayoutView="75" zoomScalePageLayoutView="0" workbookViewId="0" topLeftCell="A1">
      <selection activeCell="Q16" sqref="Q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42965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ROUND(2.52,5)</f>
        <v>2.52</v>
      </c>
      <c r="D6" s="24">
        <f>F6</f>
        <v>2.52</v>
      </c>
      <c r="E6" s="24">
        <f>F6</f>
        <v>2.52</v>
      </c>
      <c r="F6" s="24">
        <f>ROUND(2.52,5)</f>
        <v>2.52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ROUND(2.43,5)</f>
        <v>2.43</v>
      </c>
      <c r="D8" s="24">
        <f>F8</f>
        <v>2.43</v>
      </c>
      <c r="E8" s="24">
        <f>F8</f>
        <v>2.43</v>
      </c>
      <c r="F8" s="24">
        <f>ROUND(2.43,5)</f>
        <v>2.43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ROUND(2.54,5)</f>
        <v>2.54</v>
      </c>
      <c r="D10" s="24">
        <f>F10</f>
        <v>2.54</v>
      </c>
      <c r="E10" s="24">
        <f>F10</f>
        <v>2.54</v>
      </c>
      <c r="F10" s="24">
        <f>ROUND(2.54,5)</f>
        <v>2.54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ROUND(3.19,5)</f>
        <v>3.19</v>
      </c>
      <c r="D12" s="24">
        <f>F12</f>
        <v>3.19</v>
      </c>
      <c r="E12" s="24">
        <f>F12</f>
        <v>3.19</v>
      </c>
      <c r="F12" s="24">
        <f>ROUND(3.19,5)</f>
        <v>3.19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ROUND(10.695,5)</f>
        <v>10.695</v>
      </c>
      <c r="D14" s="24">
        <f>F14</f>
        <v>10.695</v>
      </c>
      <c r="E14" s="24">
        <f>F14</f>
        <v>10.695</v>
      </c>
      <c r="F14" s="24">
        <f>ROUND(10.695,5)</f>
        <v>10.695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ROUND(7.825,5)</f>
        <v>7.825</v>
      </c>
      <c r="D16" s="24">
        <f>F16</f>
        <v>7.825</v>
      </c>
      <c r="E16" s="24">
        <f>F16</f>
        <v>7.825</v>
      </c>
      <c r="F16" s="24">
        <f>ROUND(7.825,5)</f>
        <v>7.825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ROUND(8.515,3)</f>
        <v>8.515</v>
      </c>
      <c r="D18" s="29">
        <f>F18</f>
        <v>8.515</v>
      </c>
      <c r="E18" s="29">
        <f>F18</f>
        <v>8.515</v>
      </c>
      <c r="F18" s="29">
        <f>ROUND(8.515,3)</f>
        <v>8.515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ROUND(2.42,3)</f>
        <v>2.42</v>
      </c>
      <c r="D20" s="29">
        <f>F20</f>
        <v>2.42</v>
      </c>
      <c r="E20" s="29">
        <f>F20</f>
        <v>2.42</v>
      </c>
      <c r="F20" s="29">
        <f>ROUND(2.42,3)</f>
        <v>2.42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ROUND(2.55,3)</f>
        <v>2.55</v>
      </c>
      <c r="D22" s="29">
        <f>F22</f>
        <v>2.55</v>
      </c>
      <c r="E22" s="29">
        <f>F22</f>
        <v>2.55</v>
      </c>
      <c r="F22" s="29">
        <f>ROUND(2.55,3)</f>
        <v>2.55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ROUND(6.815,3)</f>
        <v>6.815</v>
      </c>
      <c r="D24" s="29">
        <f>F24</f>
        <v>6.815</v>
      </c>
      <c r="E24" s="29">
        <f>F24</f>
        <v>6.815</v>
      </c>
      <c r="F24" s="29">
        <f>ROUND(6.815,3)</f>
        <v>6.815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ROUND(7.045,3)</f>
        <v>7.045</v>
      </c>
      <c r="D26" s="29">
        <f>F26</f>
        <v>7.045</v>
      </c>
      <c r="E26" s="29">
        <f>F26</f>
        <v>7.045</v>
      </c>
      <c r="F26" s="29">
        <f>ROUND(7.045,3)</f>
        <v>7.045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ROUND(7.285,3)</f>
        <v>7.285</v>
      </c>
      <c r="D28" s="29">
        <f>F28</f>
        <v>7.285</v>
      </c>
      <c r="E28" s="29">
        <f>F28</f>
        <v>7.285</v>
      </c>
      <c r="F28" s="29">
        <f>ROUND(7.285,3)</f>
        <v>7.285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ROUND(7.435,3)</f>
        <v>7.435</v>
      </c>
      <c r="D30" s="29">
        <f>F30</f>
        <v>7.435</v>
      </c>
      <c r="E30" s="29">
        <f>F30</f>
        <v>7.435</v>
      </c>
      <c r="F30" s="29">
        <f>ROUND(7.435,3)</f>
        <v>7.435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ROUND(9.49,3)</f>
        <v>9.49</v>
      </c>
      <c r="D32" s="29">
        <f>F32</f>
        <v>9.49</v>
      </c>
      <c r="E32" s="29">
        <f>F32</f>
        <v>9.49</v>
      </c>
      <c r="F32" s="29">
        <f>ROUND(9.49,3)</f>
        <v>9.49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ROUND(2.47,3)</f>
        <v>2.47</v>
      </c>
      <c r="D34" s="29">
        <f>F34</f>
        <v>2.47</v>
      </c>
      <c r="E34" s="29">
        <f>F34</f>
        <v>2.47</v>
      </c>
      <c r="F34" s="29">
        <f>ROUND(2.47,3)</f>
        <v>2.47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ROUND(2.42,3)</f>
        <v>2.42</v>
      </c>
      <c r="D36" s="29">
        <f>F36</f>
        <v>2.42</v>
      </c>
      <c r="E36" s="29">
        <f>F36</f>
        <v>2.42</v>
      </c>
      <c r="F36" s="29">
        <f>ROUND(2.42,3)</f>
        <v>2.42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ROUND(9.165,3)</f>
        <v>9.165</v>
      </c>
      <c r="D38" s="29">
        <f>F38</f>
        <v>9.165</v>
      </c>
      <c r="E38" s="29">
        <f>F38</f>
        <v>9.165</v>
      </c>
      <c r="F38" s="29">
        <f>ROUND(9.165,3)</f>
        <v>9.165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ROUND(2.52,5)</f>
        <v>2.52</v>
      </c>
      <c r="D40" s="24">
        <f>F40</f>
        <v>129.68819</v>
      </c>
      <c r="E40" s="24">
        <f>F40</f>
        <v>129.68819</v>
      </c>
      <c r="F40" s="24">
        <f>ROUND(129.68819,5)</f>
        <v>129.68819</v>
      </c>
      <c r="G40" s="25"/>
      <c r="H40" s="26"/>
    </row>
    <row r="41" spans="1:8" ht="12.75" customHeight="1">
      <c r="A41" s="23">
        <v>43132</v>
      </c>
      <c r="B41" s="23"/>
      <c r="C41" s="24">
        <f>ROUND(2.52,5)</f>
        <v>2.52</v>
      </c>
      <c r="D41" s="24">
        <f>F41</f>
        <v>130.76244</v>
      </c>
      <c r="E41" s="24">
        <f>F41</f>
        <v>130.76244</v>
      </c>
      <c r="F41" s="24">
        <f>ROUND(130.76244,5)</f>
        <v>130.76244</v>
      </c>
      <c r="G41" s="25"/>
      <c r="H41" s="26"/>
    </row>
    <row r="42" spans="1:8" ht="12.75" customHeight="1">
      <c r="A42" s="23">
        <v>43223</v>
      </c>
      <c r="B42" s="23"/>
      <c r="C42" s="24">
        <f>ROUND(2.52,5)</f>
        <v>2.52</v>
      </c>
      <c r="D42" s="24">
        <f>F42</f>
        <v>133.27321</v>
      </c>
      <c r="E42" s="24">
        <f>F42</f>
        <v>133.27321</v>
      </c>
      <c r="F42" s="24">
        <f>ROUND(133.27321,5)</f>
        <v>133.27321</v>
      </c>
      <c r="G42" s="25"/>
      <c r="H42" s="26"/>
    </row>
    <row r="43" spans="1:8" ht="12.75" customHeight="1">
      <c r="A43" s="23">
        <v>43314</v>
      </c>
      <c r="B43" s="23"/>
      <c r="C43" s="24">
        <f>ROUND(2.52,5)</f>
        <v>2.52</v>
      </c>
      <c r="D43" s="24">
        <f>F43</f>
        <v>135.79115</v>
      </c>
      <c r="E43" s="24">
        <f>F43</f>
        <v>135.79115</v>
      </c>
      <c r="F43" s="24">
        <f>ROUND(135.79115,5)</f>
        <v>135.79115</v>
      </c>
      <c r="G43" s="25"/>
      <c r="H43" s="26"/>
    </row>
    <row r="44" spans="1:8" ht="12.75" customHeight="1">
      <c r="A44" s="23">
        <v>43405</v>
      </c>
      <c r="B44" s="23"/>
      <c r="C44" s="24">
        <f>ROUND(2.52,5)</f>
        <v>2.52</v>
      </c>
      <c r="D44" s="24">
        <f>F44</f>
        <v>138.25398</v>
      </c>
      <c r="E44" s="24">
        <f>F44</f>
        <v>138.25398</v>
      </c>
      <c r="F44" s="24">
        <f>ROUND(138.25398,5)</f>
        <v>138.25398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ROUND(99.67757,5)</f>
        <v>99.67757</v>
      </c>
      <c r="D46" s="24">
        <f>F46</f>
        <v>100.21659</v>
      </c>
      <c r="E46" s="24">
        <f>F46</f>
        <v>100.21659</v>
      </c>
      <c r="F46" s="24">
        <f>ROUND(100.21659,5)</f>
        <v>100.21659</v>
      </c>
      <c r="G46" s="25"/>
      <c r="H46" s="26"/>
    </row>
    <row r="47" spans="1:8" ht="12.75" customHeight="1">
      <c r="A47" s="23">
        <v>43132</v>
      </c>
      <c r="B47" s="23"/>
      <c r="C47" s="24">
        <f>ROUND(99.67757,5)</f>
        <v>99.67757</v>
      </c>
      <c r="D47" s="24">
        <f>F47</f>
        <v>102.09145</v>
      </c>
      <c r="E47" s="24">
        <f>F47</f>
        <v>102.09145</v>
      </c>
      <c r="F47" s="24">
        <f>ROUND(102.09145,5)</f>
        <v>102.09145</v>
      </c>
      <c r="G47" s="25"/>
      <c r="H47" s="26"/>
    </row>
    <row r="48" spans="1:8" ht="12.75" customHeight="1">
      <c r="A48" s="23">
        <v>43223</v>
      </c>
      <c r="B48" s="23"/>
      <c r="C48" s="24">
        <f>ROUND(99.67757,5)</f>
        <v>99.67757</v>
      </c>
      <c r="D48" s="24">
        <f>F48</f>
        <v>103.02368</v>
      </c>
      <c r="E48" s="24">
        <f>F48</f>
        <v>103.02368</v>
      </c>
      <c r="F48" s="24">
        <f>ROUND(103.02368,5)</f>
        <v>103.02368</v>
      </c>
      <c r="G48" s="25"/>
      <c r="H48" s="26"/>
    </row>
    <row r="49" spans="1:8" ht="12.75" customHeight="1">
      <c r="A49" s="23">
        <v>43314</v>
      </c>
      <c r="B49" s="23"/>
      <c r="C49" s="24">
        <f>ROUND(99.67757,5)</f>
        <v>99.67757</v>
      </c>
      <c r="D49" s="24">
        <f>F49</f>
        <v>104.96995</v>
      </c>
      <c r="E49" s="24">
        <f>F49</f>
        <v>104.96995</v>
      </c>
      <c r="F49" s="24">
        <f>ROUND(104.96995,5)</f>
        <v>104.96995</v>
      </c>
      <c r="G49" s="25"/>
      <c r="H49" s="26"/>
    </row>
    <row r="50" spans="1:8" ht="12.75" customHeight="1">
      <c r="A50" s="23">
        <v>43405</v>
      </c>
      <c r="B50" s="23"/>
      <c r="C50" s="24">
        <f>ROUND(99.67757,5)</f>
        <v>99.67757</v>
      </c>
      <c r="D50" s="24">
        <f>F50</f>
        <v>106.87344</v>
      </c>
      <c r="E50" s="24">
        <f>F50</f>
        <v>106.87344</v>
      </c>
      <c r="F50" s="24">
        <f>ROUND(106.87344,5)</f>
        <v>106.87344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ROUND(9.055,5)</f>
        <v>9.055</v>
      </c>
      <c r="D52" s="24">
        <f>F52</f>
        <v>9.09813</v>
      </c>
      <c r="E52" s="24">
        <f>F52</f>
        <v>9.09813</v>
      </c>
      <c r="F52" s="24">
        <f>ROUND(9.09813,5)</f>
        <v>9.09813</v>
      </c>
      <c r="G52" s="25"/>
      <c r="H52" s="26"/>
    </row>
    <row r="53" spans="1:8" ht="12.75" customHeight="1">
      <c r="A53" s="23">
        <v>43132</v>
      </c>
      <c r="B53" s="23"/>
      <c r="C53" s="24">
        <f>ROUND(9.055,5)</f>
        <v>9.055</v>
      </c>
      <c r="D53" s="24">
        <f>F53</f>
        <v>9.15206</v>
      </c>
      <c r="E53" s="24">
        <f>F53</f>
        <v>9.15206</v>
      </c>
      <c r="F53" s="24">
        <f>ROUND(9.15206,5)</f>
        <v>9.15206</v>
      </c>
      <c r="G53" s="25"/>
      <c r="H53" s="26"/>
    </row>
    <row r="54" spans="1:8" ht="12.75" customHeight="1">
      <c r="A54" s="23">
        <v>43223</v>
      </c>
      <c r="B54" s="23"/>
      <c r="C54" s="24">
        <f>ROUND(9.055,5)</f>
        <v>9.055</v>
      </c>
      <c r="D54" s="24">
        <f>F54</f>
        <v>9.20702</v>
      </c>
      <c r="E54" s="24">
        <f>F54</f>
        <v>9.20702</v>
      </c>
      <c r="F54" s="24">
        <f>ROUND(9.20702,5)</f>
        <v>9.20702</v>
      </c>
      <c r="G54" s="25"/>
      <c r="H54" s="26"/>
    </row>
    <row r="55" spans="1:8" ht="12.75" customHeight="1">
      <c r="A55" s="23">
        <v>43314</v>
      </c>
      <c r="B55" s="23"/>
      <c r="C55" s="24">
        <f>ROUND(9.055,5)</f>
        <v>9.055</v>
      </c>
      <c r="D55" s="24">
        <f>F55</f>
        <v>9.26426</v>
      </c>
      <c r="E55" s="24">
        <f>F55</f>
        <v>9.26426</v>
      </c>
      <c r="F55" s="24">
        <f>ROUND(9.26426,5)</f>
        <v>9.26426</v>
      </c>
      <c r="G55" s="25"/>
      <c r="H55" s="26"/>
    </row>
    <row r="56" spans="1:8" ht="12.75" customHeight="1">
      <c r="A56" s="23">
        <v>43405</v>
      </c>
      <c r="B56" s="23"/>
      <c r="C56" s="24">
        <f>ROUND(9.055,5)</f>
        <v>9.055</v>
      </c>
      <c r="D56" s="24">
        <f>F56</f>
        <v>9.32548</v>
      </c>
      <c r="E56" s="24">
        <f>F56</f>
        <v>9.32548</v>
      </c>
      <c r="F56" s="24">
        <f>ROUND(9.32548,5)</f>
        <v>9.32548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ROUND(9.3,5)</f>
        <v>9.3</v>
      </c>
      <c r="D58" s="24">
        <f>F58</f>
        <v>9.34873</v>
      </c>
      <c r="E58" s="24">
        <f>F58</f>
        <v>9.34873</v>
      </c>
      <c r="F58" s="24">
        <f>ROUND(9.34873,5)</f>
        <v>9.34873</v>
      </c>
      <c r="G58" s="25"/>
      <c r="H58" s="26"/>
    </row>
    <row r="59" spans="1:8" ht="12.75" customHeight="1">
      <c r="A59" s="23">
        <v>43132</v>
      </c>
      <c r="B59" s="23"/>
      <c r="C59" s="24">
        <f>ROUND(9.3,5)</f>
        <v>9.3</v>
      </c>
      <c r="D59" s="24">
        <f>F59</f>
        <v>9.40898</v>
      </c>
      <c r="E59" s="24">
        <f>F59</f>
        <v>9.40898</v>
      </c>
      <c r="F59" s="24">
        <f>ROUND(9.40898,5)</f>
        <v>9.40898</v>
      </c>
      <c r="G59" s="25"/>
      <c r="H59" s="26"/>
    </row>
    <row r="60" spans="1:8" ht="12.75" customHeight="1">
      <c r="A60" s="23">
        <v>43223</v>
      </c>
      <c r="B60" s="23"/>
      <c r="C60" s="24">
        <f>ROUND(9.3,5)</f>
        <v>9.3</v>
      </c>
      <c r="D60" s="24">
        <f>F60</f>
        <v>9.46636</v>
      </c>
      <c r="E60" s="24">
        <f>F60</f>
        <v>9.46636</v>
      </c>
      <c r="F60" s="24">
        <f>ROUND(9.46636,5)</f>
        <v>9.46636</v>
      </c>
      <c r="G60" s="25"/>
      <c r="H60" s="26"/>
    </row>
    <row r="61" spans="1:8" ht="12.75" customHeight="1">
      <c r="A61" s="23">
        <v>43314</v>
      </c>
      <c r="B61" s="23"/>
      <c r="C61" s="24">
        <f>ROUND(9.3,5)</f>
        <v>9.3</v>
      </c>
      <c r="D61" s="24">
        <f>F61</f>
        <v>9.52401</v>
      </c>
      <c r="E61" s="24">
        <f>F61</f>
        <v>9.52401</v>
      </c>
      <c r="F61" s="24">
        <f>ROUND(9.52401,5)</f>
        <v>9.52401</v>
      </c>
      <c r="G61" s="25"/>
      <c r="H61" s="26"/>
    </row>
    <row r="62" spans="1:8" ht="12.75" customHeight="1">
      <c r="A62" s="23">
        <v>43405</v>
      </c>
      <c r="B62" s="23"/>
      <c r="C62" s="24">
        <f>ROUND(9.3,5)</f>
        <v>9.3</v>
      </c>
      <c r="D62" s="24">
        <f>F62</f>
        <v>9.59169</v>
      </c>
      <c r="E62" s="24">
        <f>F62</f>
        <v>9.59169</v>
      </c>
      <c r="F62" s="24">
        <f>ROUND(9.59169,5)</f>
        <v>9.59169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ROUND(102.80565,5)</f>
        <v>102.80565</v>
      </c>
      <c r="D64" s="24">
        <f>F64</f>
        <v>104.39449</v>
      </c>
      <c r="E64" s="24">
        <f>F64</f>
        <v>104.39449</v>
      </c>
      <c r="F64" s="24">
        <f>ROUND(104.39449,5)</f>
        <v>104.39449</v>
      </c>
      <c r="G64" s="25"/>
      <c r="H64" s="26"/>
    </row>
    <row r="65" spans="1:8" ht="12.75" customHeight="1">
      <c r="A65" s="23">
        <v>43132</v>
      </c>
      <c r="B65" s="23"/>
      <c r="C65" s="24">
        <f>ROUND(102.80565,5)</f>
        <v>102.80565</v>
      </c>
      <c r="D65" s="24">
        <f>F65</f>
        <v>106.34762</v>
      </c>
      <c r="E65" s="24">
        <f>F65</f>
        <v>106.34762</v>
      </c>
      <c r="F65" s="24">
        <f>ROUND(106.34762,5)</f>
        <v>106.34762</v>
      </c>
      <c r="G65" s="25"/>
      <c r="H65" s="26"/>
    </row>
    <row r="66" spans="1:8" ht="12.75" customHeight="1">
      <c r="A66" s="23">
        <v>43223</v>
      </c>
      <c r="B66" s="23"/>
      <c r="C66" s="24">
        <f>ROUND(102.80565,5)</f>
        <v>102.80565</v>
      </c>
      <c r="D66" s="24">
        <f>F66</f>
        <v>107.29103</v>
      </c>
      <c r="E66" s="24">
        <f>F66</f>
        <v>107.29103</v>
      </c>
      <c r="F66" s="24">
        <f>ROUND(107.29103,5)</f>
        <v>107.29103</v>
      </c>
      <c r="G66" s="25"/>
      <c r="H66" s="26"/>
    </row>
    <row r="67" spans="1:8" ht="12.75" customHeight="1">
      <c r="A67" s="23">
        <v>43314</v>
      </c>
      <c r="B67" s="23"/>
      <c r="C67" s="24">
        <f>ROUND(102.80565,5)</f>
        <v>102.80565</v>
      </c>
      <c r="D67" s="24">
        <f>F67</f>
        <v>109.31803</v>
      </c>
      <c r="E67" s="24">
        <f>F67</f>
        <v>109.31803</v>
      </c>
      <c r="F67" s="24">
        <f>ROUND(109.31803,5)</f>
        <v>109.31803</v>
      </c>
      <c r="G67" s="25"/>
      <c r="H67" s="26"/>
    </row>
    <row r="68" spans="1:8" ht="12.75" customHeight="1">
      <c r="A68" s="23">
        <v>43405</v>
      </c>
      <c r="B68" s="23"/>
      <c r="C68" s="24">
        <f>ROUND(102.80565,5)</f>
        <v>102.80565</v>
      </c>
      <c r="D68" s="24">
        <f>F68</f>
        <v>111.30061</v>
      </c>
      <c r="E68" s="24">
        <f>F68</f>
        <v>111.30061</v>
      </c>
      <c r="F68" s="24">
        <f>ROUND(111.30061,5)</f>
        <v>111.30061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ROUND(9.62,5)</f>
        <v>9.62</v>
      </c>
      <c r="D70" s="24">
        <f>F70</f>
        <v>9.6693</v>
      </c>
      <c r="E70" s="24">
        <f>F70</f>
        <v>9.6693</v>
      </c>
      <c r="F70" s="24">
        <f>ROUND(9.6693,5)</f>
        <v>9.6693</v>
      </c>
      <c r="G70" s="25"/>
      <c r="H70" s="26"/>
    </row>
    <row r="71" spans="1:8" ht="12.75" customHeight="1">
      <c r="A71" s="23">
        <v>43132</v>
      </c>
      <c r="B71" s="23"/>
      <c r="C71" s="24">
        <f>ROUND(9.62,5)</f>
        <v>9.62</v>
      </c>
      <c r="D71" s="24">
        <f>F71</f>
        <v>9.73069</v>
      </c>
      <c r="E71" s="24">
        <f>F71</f>
        <v>9.73069</v>
      </c>
      <c r="F71" s="24">
        <f>ROUND(9.73069,5)</f>
        <v>9.73069</v>
      </c>
      <c r="G71" s="25"/>
      <c r="H71" s="26"/>
    </row>
    <row r="72" spans="1:8" ht="12.75" customHeight="1">
      <c r="A72" s="23">
        <v>43223</v>
      </c>
      <c r="B72" s="23"/>
      <c r="C72" s="24">
        <f>ROUND(9.62,5)</f>
        <v>9.62</v>
      </c>
      <c r="D72" s="24">
        <f>F72</f>
        <v>9.79285</v>
      </c>
      <c r="E72" s="24">
        <f>F72</f>
        <v>9.79285</v>
      </c>
      <c r="F72" s="24">
        <f>ROUND(9.79285,5)</f>
        <v>9.79285</v>
      </c>
      <c r="G72" s="25"/>
      <c r="H72" s="26"/>
    </row>
    <row r="73" spans="1:8" ht="12.75" customHeight="1">
      <c r="A73" s="23">
        <v>43314</v>
      </c>
      <c r="B73" s="23"/>
      <c r="C73" s="24">
        <f>ROUND(9.62,5)</f>
        <v>9.62</v>
      </c>
      <c r="D73" s="24">
        <f>F73</f>
        <v>9.85737</v>
      </c>
      <c r="E73" s="24">
        <f>F73</f>
        <v>9.85737</v>
      </c>
      <c r="F73" s="24">
        <f>ROUND(9.85737,5)</f>
        <v>9.85737</v>
      </c>
      <c r="G73" s="25"/>
      <c r="H73" s="26"/>
    </row>
    <row r="74" spans="1:8" ht="12.75" customHeight="1">
      <c r="A74" s="23">
        <v>43405</v>
      </c>
      <c r="B74" s="23"/>
      <c r="C74" s="24">
        <f>ROUND(9.62,5)</f>
        <v>9.62</v>
      </c>
      <c r="D74" s="24">
        <f>F74</f>
        <v>9.92458</v>
      </c>
      <c r="E74" s="24">
        <f>F74</f>
        <v>9.92458</v>
      </c>
      <c r="F74" s="24">
        <f>ROUND(9.92458,5)</f>
        <v>9.92458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ROUND(2.43,5)</f>
        <v>2.43</v>
      </c>
      <c r="D76" s="24">
        <f>F76</f>
        <v>130.54224</v>
      </c>
      <c r="E76" s="24">
        <f>F76</f>
        <v>130.54224</v>
      </c>
      <c r="F76" s="24">
        <f>ROUND(130.54224,5)</f>
        <v>130.54224</v>
      </c>
      <c r="G76" s="25"/>
      <c r="H76" s="26"/>
    </row>
    <row r="77" spans="1:8" ht="12.75" customHeight="1">
      <c r="A77" s="23">
        <v>43132</v>
      </c>
      <c r="B77" s="23"/>
      <c r="C77" s="24">
        <f>ROUND(2.43,5)</f>
        <v>2.43</v>
      </c>
      <c r="D77" s="24">
        <f>F77</f>
        <v>131.46361</v>
      </c>
      <c r="E77" s="24">
        <f>F77</f>
        <v>131.46361</v>
      </c>
      <c r="F77" s="24">
        <f>ROUND(131.46361,5)</f>
        <v>131.46361</v>
      </c>
      <c r="G77" s="25"/>
      <c r="H77" s="26"/>
    </row>
    <row r="78" spans="1:8" ht="12.75" customHeight="1">
      <c r="A78" s="23">
        <v>43223</v>
      </c>
      <c r="B78" s="23"/>
      <c r="C78" s="24">
        <f>ROUND(2.43,5)</f>
        <v>2.43</v>
      </c>
      <c r="D78" s="24">
        <f>F78</f>
        <v>133.98775</v>
      </c>
      <c r="E78" s="24">
        <f>F78</f>
        <v>133.98775</v>
      </c>
      <c r="F78" s="24">
        <f>ROUND(133.98775,5)</f>
        <v>133.98775</v>
      </c>
      <c r="G78" s="25"/>
      <c r="H78" s="26"/>
    </row>
    <row r="79" spans="1:8" ht="12.75" customHeight="1">
      <c r="A79" s="23">
        <v>43314</v>
      </c>
      <c r="B79" s="23"/>
      <c r="C79" s="24">
        <f>ROUND(2.43,5)</f>
        <v>2.43</v>
      </c>
      <c r="D79" s="24">
        <f>F79</f>
        <v>136.51914</v>
      </c>
      <c r="E79" s="24">
        <f>F79</f>
        <v>136.51914</v>
      </c>
      <c r="F79" s="24">
        <f>ROUND(136.51914,5)</f>
        <v>136.51914</v>
      </c>
      <c r="G79" s="25"/>
      <c r="H79" s="26"/>
    </row>
    <row r="80" spans="1:8" ht="12.75" customHeight="1">
      <c r="A80" s="23">
        <v>43405</v>
      </c>
      <c r="B80" s="23"/>
      <c r="C80" s="24">
        <f>ROUND(2.43,5)</f>
        <v>2.43</v>
      </c>
      <c r="D80" s="24">
        <f>F80</f>
        <v>138.99508</v>
      </c>
      <c r="E80" s="24">
        <f>F80</f>
        <v>138.99508</v>
      </c>
      <c r="F80" s="24">
        <f>ROUND(138.99508,5)</f>
        <v>138.99508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ROUND(9.72,5)</f>
        <v>9.72</v>
      </c>
      <c r="D82" s="24">
        <f>F82</f>
        <v>9.77012</v>
      </c>
      <c r="E82" s="24">
        <f>F82</f>
        <v>9.77012</v>
      </c>
      <c r="F82" s="24">
        <f>ROUND(9.77012,5)</f>
        <v>9.77012</v>
      </c>
      <c r="G82" s="25"/>
      <c r="H82" s="26"/>
    </row>
    <row r="83" spans="1:8" ht="12.75" customHeight="1">
      <c r="A83" s="23">
        <v>43132</v>
      </c>
      <c r="B83" s="23"/>
      <c r="C83" s="24">
        <f>ROUND(9.72,5)</f>
        <v>9.72</v>
      </c>
      <c r="D83" s="24">
        <f>F83</f>
        <v>9.83251</v>
      </c>
      <c r="E83" s="24">
        <f>F83</f>
        <v>9.83251</v>
      </c>
      <c r="F83" s="24">
        <f>ROUND(9.83251,5)</f>
        <v>9.83251</v>
      </c>
      <c r="G83" s="25"/>
      <c r="H83" s="26"/>
    </row>
    <row r="84" spans="1:8" ht="12.75" customHeight="1">
      <c r="A84" s="23">
        <v>43223</v>
      </c>
      <c r="B84" s="23"/>
      <c r="C84" s="24">
        <f>ROUND(9.72,5)</f>
        <v>9.72</v>
      </c>
      <c r="D84" s="24">
        <f>F84</f>
        <v>9.8956</v>
      </c>
      <c r="E84" s="24">
        <f>F84</f>
        <v>9.8956</v>
      </c>
      <c r="F84" s="24">
        <f>ROUND(9.8956,5)</f>
        <v>9.8956</v>
      </c>
      <c r="G84" s="25"/>
      <c r="H84" s="26"/>
    </row>
    <row r="85" spans="1:8" ht="12.75" customHeight="1">
      <c r="A85" s="23">
        <v>43314</v>
      </c>
      <c r="B85" s="23"/>
      <c r="C85" s="24">
        <f>ROUND(9.72,5)</f>
        <v>9.72</v>
      </c>
      <c r="D85" s="24">
        <f>F85</f>
        <v>9.96105</v>
      </c>
      <c r="E85" s="24">
        <f>F85</f>
        <v>9.96105</v>
      </c>
      <c r="F85" s="24">
        <f>ROUND(9.96105,5)</f>
        <v>9.96105</v>
      </c>
      <c r="G85" s="25"/>
      <c r="H85" s="26"/>
    </row>
    <row r="86" spans="1:8" ht="12.75" customHeight="1">
      <c r="A86" s="23">
        <v>43405</v>
      </c>
      <c r="B86" s="23"/>
      <c r="C86" s="24">
        <f>ROUND(9.72,5)</f>
        <v>9.72</v>
      </c>
      <c r="D86" s="24">
        <f>F86</f>
        <v>10.02899</v>
      </c>
      <c r="E86" s="24">
        <f>F86</f>
        <v>10.02899</v>
      </c>
      <c r="F86" s="24">
        <f>ROUND(10.02899,5)</f>
        <v>10.02899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ROUND(9.755,5)</f>
        <v>9.755</v>
      </c>
      <c r="D88" s="24">
        <f>F88</f>
        <v>9.80379</v>
      </c>
      <c r="E88" s="24">
        <f>F88</f>
        <v>9.80379</v>
      </c>
      <c r="F88" s="24">
        <f>ROUND(9.80379,5)</f>
        <v>9.80379</v>
      </c>
      <c r="G88" s="25"/>
      <c r="H88" s="26"/>
    </row>
    <row r="89" spans="1:8" ht="12.75" customHeight="1">
      <c r="A89" s="23">
        <v>43132</v>
      </c>
      <c r="B89" s="23"/>
      <c r="C89" s="24">
        <f>ROUND(9.755,5)</f>
        <v>9.755</v>
      </c>
      <c r="D89" s="24">
        <f>F89</f>
        <v>9.86445</v>
      </c>
      <c r="E89" s="24">
        <f>F89</f>
        <v>9.86445</v>
      </c>
      <c r="F89" s="24">
        <f>ROUND(9.86445,5)</f>
        <v>9.86445</v>
      </c>
      <c r="G89" s="25"/>
      <c r="H89" s="26"/>
    </row>
    <row r="90" spans="1:8" ht="12.75" customHeight="1">
      <c r="A90" s="23">
        <v>43223</v>
      </c>
      <c r="B90" s="23"/>
      <c r="C90" s="24">
        <f>ROUND(9.755,5)</f>
        <v>9.755</v>
      </c>
      <c r="D90" s="24">
        <f>F90</f>
        <v>9.92568</v>
      </c>
      <c r="E90" s="24">
        <f>F90</f>
        <v>9.92568</v>
      </c>
      <c r="F90" s="24">
        <f>ROUND(9.92568,5)</f>
        <v>9.92568</v>
      </c>
      <c r="G90" s="25"/>
      <c r="H90" s="26"/>
    </row>
    <row r="91" spans="1:8" ht="12.75" customHeight="1">
      <c r="A91" s="23">
        <v>43314</v>
      </c>
      <c r="B91" s="23"/>
      <c r="C91" s="24">
        <f>ROUND(9.755,5)</f>
        <v>9.755</v>
      </c>
      <c r="D91" s="24">
        <f>F91</f>
        <v>9.9891</v>
      </c>
      <c r="E91" s="24">
        <f>F91</f>
        <v>9.9891</v>
      </c>
      <c r="F91" s="24">
        <f>ROUND(9.9891,5)</f>
        <v>9.9891</v>
      </c>
      <c r="G91" s="25"/>
      <c r="H91" s="26"/>
    </row>
    <row r="92" spans="1:8" ht="12.75" customHeight="1">
      <c r="A92" s="23">
        <v>43405</v>
      </c>
      <c r="B92" s="23"/>
      <c r="C92" s="24">
        <f>ROUND(9.755,5)</f>
        <v>9.755</v>
      </c>
      <c r="D92" s="24">
        <f>F92</f>
        <v>10.05477</v>
      </c>
      <c r="E92" s="24">
        <f>F92</f>
        <v>10.05477</v>
      </c>
      <c r="F92" s="24">
        <f>ROUND(10.05477,5)</f>
        <v>10.05477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ROUND(123.56312,5)</f>
        <v>123.56312</v>
      </c>
      <c r="D94" s="24">
        <f>F94</f>
        <v>123.89905</v>
      </c>
      <c r="E94" s="24">
        <f>F94</f>
        <v>123.89905</v>
      </c>
      <c r="F94" s="24">
        <f>ROUND(123.89905,5)</f>
        <v>123.89905</v>
      </c>
      <c r="G94" s="25"/>
      <c r="H94" s="26"/>
    </row>
    <row r="95" spans="1:8" ht="12.75" customHeight="1">
      <c r="A95" s="23">
        <v>43132</v>
      </c>
      <c r="B95" s="23"/>
      <c r="C95" s="24">
        <f>ROUND(123.56312,5)</f>
        <v>123.56312</v>
      </c>
      <c r="D95" s="24">
        <f>F95</f>
        <v>126.21713</v>
      </c>
      <c r="E95" s="24">
        <f>F95</f>
        <v>126.21713</v>
      </c>
      <c r="F95" s="24">
        <f>ROUND(126.21713,5)</f>
        <v>126.21713</v>
      </c>
      <c r="G95" s="25"/>
      <c r="H95" s="26"/>
    </row>
    <row r="96" spans="1:8" ht="12.75" customHeight="1">
      <c r="A96" s="23">
        <v>43223</v>
      </c>
      <c r="B96" s="23"/>
      <c r="C96" s="24">
        <f>ROUND(123.56312,5)</f>
        <v>123.56312</v>
      </c>
      <c r="D96" s="24">
        <f>F96</f>
        <v>127.02518</v>
      </c>
      <c r="E96" s="24">
        <f>F96</f>
        <v>127.02518</v>
      </c>
      <c r="F96" s="24">
        <f>ROUND(127.02518,5)</f>
        <v>127.02518</v>
      </c>
      <c r="G96" s="25"/>
      <c r="H96" s="26"/>
    </row>
    <row r="97" spans="1:8" ht="12.75" customHeight="1">
      <c r="A97" s="23">
        <v>43314</v>
      </c>
      <c r="B97" s="23"/>
      <c r="C97" s="24">
        <f>ROUND(123.56312,5)</f>
        <v>123.56312</v>
      </c>
      <c r="D97" s="24">
        <f>F97</f>
        <v>129.42471</v>
      </c>
      <c r="E97" s="24">
        <f>F97</f>
        <v>129.42471</v>
      </c>
      <c r="F97" s="24">
        <f>ROUND(129.42471,5)</f>
        <v>129.42471</v>
      </c>
      <c r="G97" s="25"/>
      <c r="H97" s="26"/>
    </row>
    <row r="98" spans="1:8" ht="12.75" customHeight="1">
      <c r="A98" s="23">
        <v>43405</v>
      </c>
      <c r="B98" s="23"/>
      <c r="C98" s="24">
        <f>ROUND(123.56312,5)</f>
        <v>123.56312</v>
      </c>
      <c r="D98" s="24">
        <f>F98</f>
        <v>131.77134</v>
      </c>
      <c r="E98" s="24">
        <f>F98</f>
        <v>131.77134</v>
      </c>
      <c r="F98" s="24">
        <f>ROUND(131.77134,5)</f>
        <v>131.77134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ROUND(2.54,5)</f>
        <v>2.54</v>
      </c>
      <c r="D100" s="24">
        <f>F100</f>
        <v>133.39281</v>
      </c>
      <c r="E100" s="24">
        <f>F100</f>
        <v>133.39281</v>
      </c>
      <c r="F100" s="24">
        <f>ROUND(133.39281,5)</f>
        <v>133.39281</v>
      </c>
      <c r="G100" s="25"/>
      <c r="H100" s="26"/>
    </row>
    <row r="101" spans="1:8" ht="12.75" customHeight="1">
      <c r="A101" s="23">
        <v>43132</v>
      </c>
      <c r="B101" s="23"/>
      <c r="C101" s="24">
        <f>ROUND(2.54,5)</f>
        <v>2.54</v>
      </c>
      <c r="D101" s="24">
        <f>F101</f>
        <v>134.19706</v>
      </c>
      <c r="E101" s="24">
        <f>F101</f>
        <v>134.19706</v>
      </c>
      <c r="F101" s="24">
        <f>ROUND(134.19706,5)</f>
        <v>134.19706</v>
      </c>
      <c r="G101" s="25"/>
      <c r="H101" s="26"/>
    </row>
    <row r="102" spans="1:8" ht="12.75" customHeight="1">
      <c r="A102" s="23">
        <v>43223</v>
      </c>
      <c r="B102" s="23"/>
      <c r="C102" s="24">
        <f>ROUND(2.54,5)</f>
        <v>2.54</v>
      </c>
      <c r="D102" s="24">
        <f>F102</f>
        <v>136.7738</v>
      </c>
      <c r="E102" s="24">
        <f>F102</f>
        <v>136.7738</v>
      </c>
      <c r="F102" s="24">
        <f>ROUND(136.7738,5)</f>
        <v>136.7738</v>
      </c>
      <c r="G102" s="25"/>
      <c r="H102" s="26"/>
    </row>
    <row r="103" spans="1:8" ht="12.75" customHeight="1">
      <c r="A103" s="23">
        <v>43314</v>
      </c>
      <c r="B103" s="23"/>
      <c r="C103" s="24">
        <f>ROUND(2.54,5)</f>
        <v>2.54</v>
      </c>
      <c r="D103" s="24">
        <f>F103</f>
        <v>139.35789</v>
      </c>
      <c r="E103" s="24">
        <f>F103</f>
        <v>139.35789</v>
      </c>
      <c r="F103" s="24">
        <f>ROUND(139.35789,5)</f>
        <v>139.35789</v>
      </c>
      <c r="G103" s="25"/>
      <c r="H103" s="26"/>
    </row>
    <row r="104" spans="1:8" ht="12.75" customHeight="1">
      <c r="A104" s="23">
        <v>43405</v>
      </c>
      <c r="B104" s="23"/>
      <c r="C104" s="24">
        <f>ROUND(2.54,5)</f>
        <v>2.54</v>
      </c>
      <c r="D104" s="24">
        <f>F104</f>
        <v>141.88542</v>
      </c>
      <c r="E104" s="24">
        <f>F104</f>
        <v>141.88542</v>
      </c>
      <c r="F104" s="24">
        <f>ROUND(141.88542,5)</f>
        <v>141.88542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ROUND(3.19,5)</f>
        <v>3.19</v>
      </c>
      <c r="D106" s="24">
        <f>F106</f>
        <v>127.94282</v>
      </c>
      <c r="E106" s="24">
        <f>F106</f>
        <v>127.94282</v>
      </c>
      <c r="F106" s="24">
        <f>ROUND(127.94282,5)</f>
        <v>127.94282</v>
      </c>
      <c r="G106" s="25"/>
      <c r="H106" s="26"/>
    </row>
    <row r="107" spans="1:8" ht="12.75" customHeight="1">
      <c r="A107" s="23">
        <v>43132</v>
      </c>
      <c r="B107" s="23"/>
      <c r="C107" s="24">
        <f>ROUND(3.19,5)</f>
        <v>3.19</v>
      </c>
      <c r="D107" s="24">
        <f>F107</f>
        <v>130.3363</v>
      </c>
      <c r="E107" s="24">
        <f>F107</f>
        <v>130.3363</v>
      </c>
      <c r="F107" s="24">
        <f>ROUND(130.3363,5)</f>
        <v>130.3363</v>
      </c>
      <c r="G107" s="25"/>
      <c r="H107" s="26"/>
    </row>
    <row r="108" spans="1:8" ht="12.75" customHeight="1">
      <c r="A108" s="23">
        <v>43223</v>
      </c>
      <c r="B108" s="23"/>
      <c r="C108" s="24">
        <f>ROUND(3.19,5)</f>
        <v>3.19</v>
      </c>
      <c r="D108" s="24">
        <f>F108</f>
        <v>132.83889</v>
      </c>
      <c r="E108" s="24">
        <f>F108</f>
        <v>132.83889</v>
      </c>
      <c r="F108" s="24">
        <f>ROUND(132.83889,5)</f>
        <v>132.83889</v>
      </c>
      <c r="G108" s="25"/>
      <c r="H108" s="26"/>
    </row>
    <row r="109" spans="1:8" ht="12.75" customHeight="1">
      <c r="A109" s="23">
        <v>43314</v>
      </c>
      <c r="B109" s="23"/>
      <c r="C109" s="24">
        <f>ROUND(3.19,5)</f>
        <v>3.19</v>
      </c>
      <c r="D109" s="24">
        <f>F109</f>
        <v>135.34879</v>
      </c>
      <c r="E109" s="24">
        <f>F109</f>
        <v>135.34879</v>
      </c>
      <c r="F109" s="24">
        <f>ROUND(135.34879,5)</f>
        <v>135.34879</v>
      </c>
      <c r="G109" s="25"/>
      <c r="H109" s="26"/>
    </row>
    <row r="110" spans="1:8" ht="12.75" customHeight="1">
      <c r="A110" s="23">
        <v>43405</v>
      </c>
      <c r="B110" s="23"/>
      <c r="C110" s="24">
        <f>ROUND(3.19,5)</f>
        <v>3.19</v>
      </c>
      <c r="D110" s="24">
        <f>F110</f>
        <v>137.80392</v>
      </c>
      <c r="E110" s="24">
        <f>F110</f>
        <v>137.80392</v>
      </c>
      <c r="F110" s="24">
        <f>ROUND(137.80392,5)</f>
        <v>137.80392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ROUND(10.695,5)</f>
        <v>10.695</v>
      </c>
      <c r="D112" s="24">
        <f>F112</f>
        <v>10.77916</v>
      </c>
      <c r="E112" s="24">
        <f>F112</f>
        <v>10.77916</v>
      </c>
      <c r="F112" s="24">
        <f>ROUND(10.77916,5)</f>
        <v>10.77916</v>
      </c>
      <c r="G112" s="25"/>
      <c r="H112" s="26"/>
    </row>
    <row r="113" spans="1:8" ht="12.75" customHeight="1">
      <c r="A113" s="23">
        <v>43132</v>
      </c>
      <c r="B113" s="23"/>
      <c r="C113" s="24">
        <f>ROUND(10.695,5)</f>
        <v>10.695</v>
      </c>
      <c r="D113" s="24">
        <f>F113</f>
        <v>10.8852</v>
      </c>
      <c r="E113" s="24">
        <f>F113</f>
        <v>10.8852</v>
      </c>
      <c r="F113" s="24">
        <f>ROUND(10.8852,5)</f>
        <v>10.8852</v>
      </c>
      <c r="G113" s="25"/>
      <c r="H113" s="26"/>
    </row>
    <row r="114" spans="1:8" ht="12.75" customHeight="1">
      <c r="A114" s="23">
        <v>43223</v>
      </c>
      <c r="B114" s="23"/>
      <c r="C114" s="24">
        <f>ROUND(10.695,5)</f>
        <v>10.695</v>
      </c>
      <c r="D114" s="24">
        <f>F114</f>
        <v>10.98694</v>
      </c>
      <c r="E114" s="24">
        <f>F114</f>
        <v>10.98694</v>
      </c>
      <c r="F114" s="24">
        <f>ROUND(10.98694,5)</f>
        <v>10.98694</v>
      </c>
      <c r="G114" s="25"/>
      <c r="H114" s="26"/>
    </row>
    <row r="115" spans="1:8" ht="12.75" customHeight="1">
      <c r="A115" s="23">
        <v>43314</v>
      </c>
      <c r="B115" s="23"/>
      <c r="C115" s="24">
        <f>ROUND(10.695,5)</f>
        <v>10.695</v>
      </c>
      <c r="D115" s="24">
        <f>F115</f>
        <v>11.08996</v>
      </c>
      <c r="E115" s="24">
        <f>F115</f>
        <v>11.08996</v>
      </c>
      <c r="F115" s="24">
        <f>ROUND(11.08996,5)</f>
        <v>11.08996</v>
      </c>
      <c r="G115" s="25"/>
      <c r="H115" s="26"/>
    </row>
    <row r="116" spans="1:8" ht="12.75" customHeight="1">
      <c r="A116" s="23">
        <v>43405</v>
      </c>
      <c r="B116" s="23"/>
      <c r="C116" s="24">
        <f>ROUND(10.695,5)</f>
        <v>10.695</v>
      </c>
      <c r="D116" s="24">
        <f>F116</f>
        <v>11.20687</v>
      </c>
      <c r="E116" s="24">
        <f>F116</f>
        <v>11.20687</v>
      </c>
      <c r="F116" s="24">
        <f>ROUND(11.20687,5)</f>
        <v>11.20687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ROUND(10.92,5)</f>
        <v>10.92</v>
      </c>
      <c r="D118" s="24">
        <f>F118</f>
        <v>11.00337</v>
      </c>
      <c r="E118" s="24">
        <f>F118</f>
        <v>11.00337</v>
      </c>
      <c r="F118" s="24">
        <f>ROUND(11.00337,5)</f>
        <v>11.00337</v>
      </c>
      <c r="G118" s="25"/>
      <c r="H118" s="26"/>
    </row>
    <row r="119" spans="1:8" ht="12.75" customHeight="1">
      <c r="A119" s="23">
        <v>43132</v>
      </c>
      <c r="B119" s="23"/>
      <c r="C119" s="24">
        <f>ROUND(10.92,5)</f>
        <v>10.92</v>
      </c>
      <c r="D119" s="24">
        <f>F119</f>
        <v>11.10509</v>
      </c>
      <c r="E119" s="24">
        <f>F119</f>
        <v>11.10509</v>
      </c>
      <c r="F119" s="24">
        <f>ROUND(11.10509,5)</f>
        <v>11.10509</v>
      </c>
      <c r="G119" s="25"/>
      <c r="H119" s="26"/>
    </row>
    <row r="120" spans="1:8" ht="12.75" customHeight="1">
      <c r="A120" s="23">
        <v>43223</v>
      </c>
      <c r="B120" s="23"/>
      <c r="C120" s="24">
        <f>ROUND(10.92,5)</f>
        <v>10.92</v>
      </c>
      <c r="D120" s="24">
        <f>F120</f>
        <v>11.20769</v>
      </c>
      <c r="E120" s="24">
        <f>F120</f>
        <v>11.20769</v>
      </c>
      <c r="F120" s="24">
        <f>ROUND(11.20769,5)</f>
        <v>11.20769</v>
      </c>
      <c r="G120" s="25"/>
      <c r="H120" s="26"/>
    </row>
    <row r="121" spans="1:8" ht="12.75" customHeight="1">
      <c r="A121" s="23">
        <v>43314</v>
      </c>
      <c r="B121" s="23"/>
      <c r="C121" s="24">
        <f>ROUND(10.92,5)</f>
        <v>10.92</v>
      </c>
      <c r="D121" s="24">
        <f>F121</f>
        <v>11.30973</v>
      </c>
      <c r="E121" s="24">
        <f>F121</f>
        <v>11.30973</v>
      </c>
      <c r="F121" s="24">
        <f>ROUND(11.30973,5)</f>
        <v>11.30973</v>
      </c>
      <c r="G121" s="25"/>
      <c r="H121" s="26"/>
    </row>
    <row r="122" spans="1:8" ht="12.75" customHeight="1">
      <c r="A122" s="23">
        <v>43405</v>
      </c>
      <c r="B122" s="23"/>
      <c r="C122" s="24">
        <f>ROUND(10.92,5)</f>
        <v>10.92</v>
      </c>
      <c r="D122" s="24">
        <f>F122</f>
        <v>11.42398</v>
      </c>
      <c r="E122" s="24">
        <f>F122</f>
        <v>11.42398</v>
      </c>
      <c r="F122" s="24">
        <f>ROUND(11.42398,5)</f>
        <v>11.42398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ROUND(7.825,5)</f>
        <v>7.825</v>
      </c>
      <c r="D124" s="24">
        <f>F124</f>
        <v>7.84762</v>
      </c>
      <c r="E124" s="24">
        <f>F124</f>
        <v>7.84762</v>
      </c>
      <c r="F124" s="24">
        <f>ROUND(7.84762,5)</f>
        <v>7.84762</v>
      </c>
      <c r="G124" s="25"/>
      <c r="H124" s="26"/>
    </row>
    <row r="125" spans="1:8" ht="12.75" customHeight="1">
      <c r="A125" s="23">
        <v>43132</v>
      </c>
      <c r="B125" s="23"/>
      <c r="C125" s="24">
        <f>ROUND(7.825,5)</f>
        <v>7.825</v>
      </c>
      <c r="D125" s="24">
        <f>F125</f>
        <v>7.87654</v>
      </c>
      <c r="E125" s="24">
        <f>F125</f>
        <v>7.87654</v>
      </c>
      <c r="F125" s="24">
        <f>ROUND(7.87654,5)</f>
        <v>7.87654</v>
      </c>
      <c r="G125" s="25"/>
      <c r="H125" s="26"/>
    </row>
    <row r="126" spans="1:8" ht="12.75" customHeight="1">
      <c r="A126" s="23">
        <v>43223</v>
      </c>
      <c r="B126" s="23"/>
      <c r="C126" s="24">
        <f>ROUND(7.825,5)</f>
        <v>7.825</v>
      </c>
      <c r="D126" s="24">
        <f>F126</f>
        <v>7.89226</v>
      </c>
      <c r="E126" s="24">
        <f>F126</f>
        <v>7.89226</v>
      </c>
      <c r="F126" s="24">
        <f>ROUND(7.89226,5)</f>
        <v>7.89226</v>
      </c>
      <c r="G126" s="25"/>
      <c r="H126" s="26"/>
    </row>
    <row r="127" spans="1:8" ht="12.75" customHeight="1">
      <c r="A127" s="23">
        <v>43314</v>
      </c>
      <c r="B127" s="23"/>
      <c r="C127" s="24">
        <f>ROUND(7.825,5)</f>
        <v>7.825</v>
      </c>
      <c r="D127" s="24">
        <f>F127</f>
        <v>7.9057</v>
      </c>
      <c r="E127" s="24">
        <f>F127</f>
        <v>7.9057</v>
      </c>
      <c r="F127" s="24">
        <f>ROUND(7.9057,5)</f>
        <v>7.9057</v>
      </c>
      <c r="G127" s="25"/>
      <c r="H127" s="26"/>
    </row>
    <row r="128" spans="1:8" ht="12.75" customHeight="1">
      <c r="A128" s="23">
        <v>43405</v>
      </c>
      <c r="B128" s="23"/>
      <c r="C128" s="24">
        <f>ROUND(7.825,5)</f>
        <v>7.825</v>
      </c>
      <c r="D128" s="24">
        <f>F128</f>
        <v>7.94113</v>
      </c>
      <c r="E128" s="24">
        <f>F128</f>
        <v>7.94113</v>
      </c>
      <c r="F128" s="24">
        <f>ROUND(7.94113,5)</f>
        <v>7.94113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ROUND(9.52,5)</f>
        <v>9.52</v>
      </c>
      <c r="D130" s="24">
        <f>F130</f>
        <v>9.57211</v>
      </c>
      <c r="E130" s="24">
        <f>F130</f>
        <v>9.57211</v>
      </c>
      <c r="F130" s="24">
        <f>ROUND(9.57211,5)</f>
        <v>9.57211</v>
      </c>
      <c r="G130" s="25"/>
      <c r="H130" s="26"/>
    </row>
    <row r="131" spans="1:8" ht="12.75" customHeight="1">
      <c r="A131" s="23">
        <v>43132</v>
      </c>
      <c r="B131" s="23"/>
      <c r="C131" s="24">
        <f>ROUND(9.52,5)</f>
        <v>9.52</v>
      </c>
      <c r="D131" s="24">
        <f>F131</f>
        <v>9.63756</v>
      </c>
      <c r="E131" s="24">
        <f>F131</f>
        <v>9.63756</v>
      </c>
      <c r="F131" s="24">
        <f>ROUND(9.63756,5)</f>
        <v>9.63756</v>
      </c>
      <c r="G131" s="25"/>
      <c r="H131" s="26"/>
    </row>
    <row r="132" spans="1:8" ht="12.75" customHeight="1">
      <c r="A132" s="23">
        <v>43223</v>
      </c>
      <c r="B132" s="23"/>
      <c r="C132" s="24">
        <f>ROUND(9.52,5)</f>
        <v>9.52</v>
      </c>
      <c r="D132" s="24">
        <f>F132</f>
        <v>9.69654</v>
      </c>
      <c r="E132" s="24">
        <f>F132</f>
        <v>9.69654</v>
      </c>
      <c r="F132" s="24">
        <f>ROUND(9.69654,5)</f>
        <v>9.69654</v>
      </c>
      <c r="G132" s="25"/>
      <c r="H132" s="26"/>
    </row>
    <row r="133" spans="1:8" ht="12.75" customHeight="1">
      <c r="A133" s="23">
        <v>43314</v>
      </c>
      <c r="B133" s="23"/>
      <c r="C133" s="24">
        <f>ROUND(9.52,5)</f>
        <v>9.52</v>
      </c>
      <c r="D133" s="24">
        <f>F133</f>
        <v>9.75634</v>
      </c>
      <c r="E133" s="24">
        <f>F133</f>
        <v>9.75634</v>
      </c>
      <c r="F133" s="24">
        <f>ROUND(9.75634,5)</f>
        <v>9.75634</v>
      </c>
      <c r="G133" s="25"/>
      <c r="H133" s="26"/>
    </row>
    <row r="134" spans="1:8" ht="12.75" customHeight="1">
      <c r="A134" s="23">
        <v>43405</v>
      </c>
      <c r="B134" s="23"/>
      <c r="C134" s="24">
        <f>ROUND(9.52,5)</f>
        <v>9.52</v>
      </c>
      <c r="D134" s="24">
        <f>F134</f>
        <v>9.82761</v>
      </c>
      <c r="E134" s="24">
        <f>F134</f>
        <v>9.82761</v>
      </c>
      <c r="F134" s="24">
        <f>ROUND(9.82761,5)</f>
        <v>9.82761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ROUND(8.515,5)</f>
        <v>8.515</v>
      </c>
      <c r="D136" s="24">
        <f>F136</f>
        <v>8.5526</v>
      </c>
      <c r="E136" s="24">
        <f>F136</f>
        <v>8.5526</v>
      </c>
      <c r="F136" s="24">
        <f>ROUND(8.5526,5)</f>
        <v>8.5526</v>
      </c>
      <c r="G136" s="25"/>
      <c r="H136" s="26"/>
    </row>
    <row r="137" spans="1:8" ht="12.75" customHeight="1">
      <c r="A137" s="23">
        <v>43132</v>
      </c>
      <c r="B137" s="23"/>
      <c r="C137" s="24">
        <f>ROUND(8.515,5)</f>
        <v>8.515</v>
      </c>
      <c r="D137" s="24">
        <f>F137</f>
        <v>8.59972</v>
      </c>
      <c r="E137" s="24">
        <f>F137</f>
        <v>8.59972</v>
      </c>
      <c r="F137" s="24">
        <f>ROUND(8.59972,5)</f>
        <v>8.59972</v>
      </c>
      <c r="G137" s="25"/>
      <c r="H137" s="26"/>
    </row>
    <row r="138" spans="1:8" ht="12.75" customHeight="1">
      <c r="A138" s="23">
        <v>43223</v>
      </c>
      <c r="B138" s="23"/>
      <c r="C138" s="24">
        <f>ROUND(8.515,5)</f>
        <v>8.515</v>
      </c>
      <c r="D138" s="24">
        <f>F138</f>
        <v>8.64401</v>
      </c>
      <c r="E138" s="24">
        <f>F138</f>
        <v>8.64401</v>
      </c>
      <c r="F138" s="24">
        <f>ROUND(8.64401,5)</f>
        <v>8.64401</v>
      </c>
      <c r="G138" s="25"/>
      <c r="H138" s="26"/>
    </row>
    <row r="139" spans="1:8" ht="12.75" customHeight="1">
      <c r="A139" s="23">
        <v>43314</v>
      </c>
      <c r="B139" s="23"/>
      <c r="C139" s="24">
        <f>ROUND(8.515,5)</f>
        <v>8.515</v>
      </c>
      <c r="D139" s="24">
        <f>F139</f>
        <v>8.68884</v>
      </c>
      <c r="E139" s="24">
        <f>F139</f>
        <v>8.68884</v>
      </c>
      <c r="F139" s="24">
        <f>ROUND(8.68884,5)</f>
        <v>8.68884</v>
      </c>
      <c r="G139" s="25"/>
      <c r="H139" s="26"/>
    </row>
    <row r="140" spans="1:8" ht="12.75" customHeight="1">
      <c r="A140" s="23">
        <v>43405</v>
      </c>
      <c r="B140" s="23"/>
      <c r="C140" s="24">
        <f>ROUND(8.515,5)</f>
        <v>8.515</v>
      </c>
      <c r="D140" s="24">
        <f>F140</f>
        <v>8.74474</v>
      </c>
      <c r="E140" s="24">
        <f>F140</f>
        <v>8.74474</v>
      </c>
      <c r="F140" s="24">
        <f>ROUND(8.74474,5)</f>
        <v>8.74474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ROUND(2.42,5)</f>
        <v>2.42</v>
      </c>
      <c r="D142" s="24">
        <f>F142</f>
        <v>301.22189</v>
      </c>
      <c r="E142" s="24">
        <f>F142</f>
        <v>301.22189</v>
      </c>
      <c r="F142" s="24">
        <f>ROUND(301.22189,5)</f>
        <v>301.22189</v>
      </c>
      <c r="G142" s="25"/>
      <c r="H142" s="26"/>
    </row>
    <row r="143" spans="1:8" ht="12.75" customHeight="1">
      <c r="A143" s="23">
        <v>43132</v>
      </c>
      <c r="B143" s="23"/>
      <c r="C143" s="24">
        <f>ROUND(2.42,5)</f>
        <v>2.42</v>
      </c>
      <c r="D143" s="24">
        <f>F143</f>
        <v>299.80855</v>
      </c>
      <c r="E143" s="24">
        <f>F143</f>
        <v>299.80855</v>
      </c>
      <c r="F143" s="24">
        <f>ROUND(299.80855,5)</f>
        <v>299.80855</v>
      </c>
      <c r="G143" s="25"/>
      <c r="H143" s="26"/>
    </row>
    <row r="144" spans="1:8" ht="12.75" customHeight="1">
      <c r="A144" s="23">
        <v>43223</v>
      </c>
      <c r="B144" s="23"/>
      <c r="C144" s="24">
        <f>ROUND(2.42,5)</f>
        <v>2.42</v>
      </c>
      <c r="D144" s="24">
        <f>F144</f>
        <v>305.56513</v>
      </c>
      <c r="E144" s="24">
        <f>F144</f>
        <v>305.56513</v>
      </c>
      <c r="F144" s="24">
        <f>ROUND(305.56513,5)</f>
        <v>305.56513</v>
      </c>
      <c r="G144" s="25"/>
      <c r="H144" s="26"/>
    </row>
    <row r="145" spans="1:8" ht="12.75" customHeight="1">
      <c r="A145" s="23">
        <v>43314</v>
      </c>
      <c r="B145" s="23"/>
      <c r="C145" s="24">
        <f>ROUND(2.42,5)</f>
        <v>2.42</v>
      </c>
      <c r="D145" s="24">
        <f>F145</f>
        <v>311.33776</v>
      </c>
      <c r="E145" s="24">
        <f>F145</f>
        <v>311.33776</v>
      </c>
      <c r="F145" s="24">
        <f>ROUND(311.33776,5)</f>
        <v>311.33776</v>
      </c>
      <c r="G145" s="25"/>
      <c r="H145" s="26"/>
    </row>
    <row r="146" spans="1:8" ht="12.75" customHeight="1">
      <c r="A146" s="23">
        <v>43405</v>
      </c>
      <c r="B146" s="23"/>
      <c r="C146" s="24">
        <f>ROUND(2.42,5)</f>
        <v>2.42</v>
      </c>
      <c r="D146" s="24">
        <f>F146</f>
        <v>316.98361</v>
      </c>
      <c r="E146" s="24">
        <f>F146</f>
        <v>316.98361</v>
      </c>
      <c r="F146" s="24">
        <f>ROUND(316.98361,5)</f>
        <v>316.98361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ROUND(2.55,5)</f>
        <v>2.55</v>
      </c>
      <c r="D148" s="24">
        <f>F148</f>
        <v>241.42489</v>
      </c>
      <c r="E148" s="24">
        <f>F148</f>
        <v>241.42489</v>
      </c>
      <c r="F148" s="24">
        <f>ROUND(241.42489,5)</f>
        <v>241.42489</v>
      </c>
      <c r="G148" s="25"/>
      <c r="H148" s="26"/>
    </row>
    <row r="149" spans="1:8" ht="12.75" customHeight="1">
      <c r="A149" s="23">
        <v>43132</v>
      </c>
      <c r="B149" s="23"/>
      <c r="C149" s="24">
        <f>ROUND(2.55,5)</f>
        <v>2.55</v>
      </c>
      <c r="D149" s="24">
        <f>F149</f>
        <v>242.19762</v>
      </c>
      <c r="E149" s="24">
        <f>F149</f>
        <v>242.19762</v>
      </c>
      <c r="F149" s="24">
        <f>ROUND(242.19762,5)</f>
        <v>242.19762</v>
      </c>
      <c r="G149" s="25"/>
      <c r="H149" s="26"/>
    </row>
    <row r="150" spans="1:8" ht="12.75" customHeight="1">
      <c r="A150" s="23">
        <v>43223</v>
      </c>
      <c r="B150" s="23"/>
      <c r="C150" s="24">
        <f>ROUND(2.55,5)</f>
        <v>2.55</v>
      </c>
      <c r="D150" s="24">
        <f>F150</f>
        <v>246.84813</v>
      </c>
      <c r="E150" s="24">
        <f>F150</f>
        <v>246.84813</v>
      </c>
      <c r="F150" s="24">
        <f>ROUND(246.84813,5)</f>
        <v>246.84813</v>
      </c>
      <c r="G150" s="25"/>
      <c r="H150" s="26"/>
    </row>
    <row r="151" spans="1:8" ht="12.75" customHeight="1">
      <c r="A151" s="23">
        <v>43314</v>
      </c>
      <c r="B151" s="23"/>
      <c r="C151" s="24">
        <f>ROUND(2.55,5)</f>
        <v>2.55</v>
      </c>
      <c r="D151" s="24">
        <f>F151</f>
        <v>251.51187</v>
      </c>
      <c r="E151" s="24">
        <f>F151</f>
        <v>251.51187</v>
      </c>
      <c r="F151" s="24">
        <f>ROUND(251.51187,5)</f>
        <v>251.51187</v>
      </c>
      <c r="G151" s="25"/>
      <c r="H151" s="26"/>
    </row>
    <row r="152" spans="1:8" ht="12.75" customHeight="1">
      <c r="A152" s="23">
        <v>43405</v>
      </c>
      <c r="B152" s="23"/>
      <c r="C152" s="24">
        <f>ROUND(2.55,5)</f>
        <v>2.55</v>
      </c>
      <c r="D152" s="24">
        <f>F152</f>
        <v>256.07355</v>
      </c>
      <c r="E152" s="24">
        <f>F152</f>
        <v>256.07355</v>
      </c>
      <c r="F152" s="24">
        <f>ROUND(256.07355,5)</f>
        <v>256.07355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ROUND(6.815,5)</f>
        <v>6.815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ROUND(7.045,5)</f>
        <v>7.045</v>
      </c>
      <c r="D156" s="24">
        <f>F156</f>
        <v>6.97158</v>
      </c>
      <c r="E156" s="24">
        <f>F156</f>
        <v>6.97158</v>
      </c>
      <c r="F156" s="24">
        <f>ROUND(6.97158,5)</f>
        <v>6.97158</v>
      </c>
      <c r="G156" s="25"/>
      <c r="H156" s="26"/>
    </row>
    <row r="157" spans="1:8" ht="12.75" customHeight="1">
      <c r="A157" s="23">
        <v>43132</v>
      </c>
      <c r="B157" s="23"/>
      <c r="C157" s="24">
        <f>ROUND(7.045,5)</f>
        <v>7.045</v>
      </c>
      <c r="D157" s="24">
        <f>F157</f>
        <v>6.83433</v>
      </c>
      <c r="E157" s="24">
        <f>F157</f>
        <v>6.83433</v>
      </c>
      <c r="F157" s="24">
        <f>ROUND(6.83433,5)</f>
        <v>6.83433</v>
      </c>
      <c r="G157" s="25"/>
      <c r="H157" s="26"/>
    </row>
    <row r="158" spans="1:8" ht="12.75" customHeight="1">
      <c r="A158" s="23">
        <v>43223</v>
      </c>
      <c r="B158" s="23"/>
      <c r="C158" s="24">
        <f>ROUND(7.045,5)</f>
        <v>7.045</v>
      </c>
      <c r="D158" s="24">
        <f>F158</f>
        <v>6.52928</v>
      </c>
      <c r="E158" s="24">
        <f>F158</f>
        <v>6.52928</v>
      </c>
      <c r="F158" s="24">
        <f>ROUND(6.52928,5)</f>
        <v>6.52928</v>
      </c>
      <c r="G158" s="25"/>
      <c r="H158" s="26"/>
    </row>
    <row r="159" spans="1:8" ht="12.75" customHeight="1">
      <c r="A159" s="23">
        <v>43314</v>
      </c>
      <c r="B159" s="23"/>
      <c r="C159" s="24">
        <f>ROUND(7.045,5)</f>
        <v>7.045</v>
      </c>
      <c r="D159" s="24">
        <f>F159</f>
        <v>5.74943</v>
      </c>
      <c r="E159" s="24">
        <f>F159</f>
        <v>5.74943</v>
      </c>
      <c r="F159" s="24">
        <f>ROUND(5.74943,5)</f>
        <v>5.74943</v>
      </c>
      <c r="G159" s="25"/>
      <c r="H159" s="26"/>
    </row>
    <row r="160" spans="1:8" ht="12.75" customHeight="1">
      <c r="A160" s="23">
        <v>43405</v>
      </c>
      <c r="B160" s="23"/>
      <c r="C160" s="24">
        <f>ROUND(7.045,5)</f>
        <v>7.045</v>
      </c>
      <c r="D160" s="24">
        <f>F160</f>
        <v>2.46598</v>
      </c>
      <c r="E160" s="24">
        <f>F160</f>
        <v>2.46598</v>
      </c>
      <c r="F160" s="24">
        <f>ROUND(2.46598,5)</f>
        <v>2.46598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ROUND(7.285,5)</f>
        <v>7.285</v>
      </c>
      <c r="D162" s="24">
        <f>F162</f>
        <v>7.26681</v>
      </c>
      <c r="E162" s="24">
        <f>F162</f>
        <v>7.26681</v>
      </c>
      <c r="F162" s="24">
        <f>ROUND(7.26681,5)</f>
        <v>7.26681</v>
      </c>
      <c r="G162" s="25"/>
      <c r="H162" s="26"/>
    </row>
    <row r="163" spans="1:8" ht="12.75" customHeight="1">
      <c r="A163" s="23">
        <v>43132</v>
      </c>
      <c r="B163" s="23"/>
      <c r="C163" s="24">
        <f>ROUND(7.285,5)</f>
        <v>7.285</v>
      </c>
      <c r="D163" s="24">
        <f>F163</f>
        <v>7.23917</v>
      </c>
      <c r="E163" s="24">
        <f>F163</f>
        <v>7.23917</v>
      </c>
      <c r="F163" s="24">
        <f>ROUND(7.23917,5)</f>
        <v>7.23917</v>
      </c>
      <c r="G163" s="25"/>
      <c r="H163" s="26"/>
    </row>
    <row r="164" spans="1:8" ht="12.75" customHeight="1">
      <c r="A164" s="23">
        <v>43223</v>
      </c>
      <c r="B164" s="23"/>
      <c r="C164" s="24">
        <f>ROUND(7.285,5)</f>
        <v>7.285</v>
      </c>
      <c r="D164" s="24">
        <f>F164</f>
        <v>7.19342</v>
      </c>
      <c r="E164" s="24">
        <f>F164</f>
        <v>7.19342</v>
      </c>
      <c r="F164" s="24">
        <f>ROUND(7.19342,5)</f>
        <v>7.19342</v>
      </c>
      <c r="G164" s="25"/>
      <c r="H164" s="26"/>
    </row>
    <row r="165" spans="1:8" ht="12.75" customHeight="1">
      <c r="A165" s="23">
        <v>43314</v>
      </c>
      <c r="B165" s="23"/>
      <c r="C165" s="24">
        <f>ROUND(7.285,5)</f>
        <v>7.285</v>
      </c>
      <c r="D165" s="24">
        <f>F165</f>
        <v>7.12016</v>
      </c>
      <c r="E165" s="24">
        <f>F165</f>
        <v>7.12016</v>
      </c>
      <c r="F165" s="24">
        <f>ROUND(7.12016,5)</f>
        <v>7.12016</v>
      </c>
      <c r="G165" s="25"/>
      <c r="H165" s="26"/>
    </row>
    <row r="166" spans="1:8" ht="12.75" customHeight="1">
      <c r="A166" s="23">
        <v>43405</v>
      </c>
      <c r="B166" s="23"/>
      <c r="C166" s="24">
        <f>ROUND(7.285,5)</f>
        <v>7.285</v>
      </c>
      <c r="D166" s="24">
        <f>F166</f>
        <v>7.04204</v>
      </c>
      <c r="E166" s="24">
        <f>F166</f>
        <v>7.04204</v>
      </c>
      <c r="F166" s="24">
        <f>ROUND(7.04204,5)</f>
        <v>7.04204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ROUND(7.435,5)</f>
        <v>7.435</v>
      </c>
      <c r="D168" s="24">
        <f>F168</f>
        <v>7.43737</v>
      </c>
      <c r="E168" s="24">
        <f>F168</f>
        <v>7.43737</v>
      </c>
      <c r="F168" s="24">
        <f>ROUND(7.43737,5)</f>
        <v>7.43737</v>
      </c>
      <c r="G168" s="25"/>
      <c r="H168" s="26"/>
    </row>
    <row r="169" spans="1:8" ht="12.75" customHeight="1">
      <c r="A169" s="23">
        <v>43132</v>
      </c>
      <c r="B169" s="23"/>
      <c r="C169" s="24">
        <f>ROUND(7.435,5)</f>
        <v>7.435</v>
      </c>
      <c r="D169" s="24">
        <f>F169</f>
        <v>7.43955</v>
      </c>
      <c r="E169" s="24">
        <f>F169</f>
        <v>7.43955</v>
      </c>
      <c r="F169" s="24">
        <f>ROUND(7.43955,5)</f>
        <v>7.43955</v>
      </c>
      <c r="G169" s="25"/>
      <c r="H169" s="26"/>
    </row>
    <row r="170" spans="1:8" ht="12.75" customHeight="1">
      <c r="A170" s="23">
        <v>43223</v>
      </c>
      <c r="B170" s="23"/>
      <c r="C170" s="24">
        <f>ROUND(7.435,5)</f>
        <v>7.435</v>
      </c>
      <c r="D170" s="24">
        <f>F170</f>
        <v>7.42543</v>
      </c>
      <c r="E170" s="24">
        <f>F170</f>
        <v>7.42543</v>
      </c>
      <c r="F170" s="24">
        <f>ROUND(7.42543,5)</f>
        <v>7.42543</v>
      </c>
      <c r="G170" s="25"/>
      <c r="H170" s="26"/>
    </row>
    <row r="171" spans="1:8" ht="12.75" customHeight="1">
      <c r="A171" s="23">
        <v>43314</v>
      </c>
      <c r="B171" s="23"/>
      <c r="C171" s="24">
        <f>ROUND(7.435,5)</f>
        <v>7.435</v>
      </c>
      <c r="D171" s="24">
        <f>F171</f>
        <v>7.40304</v>
      </c>
      <c r="E171" s="24">
        <f>F171</f>
        <v>7.40304</v>
      </c>
      <c r="F171" s="24">
        <f>ROUND(7.40304,5)</f>
        <v>7.40304</v>
      </c>
      <c r="G171" s="25"/>
      <c r="H171" s="26"/>
    </row>
    <row r="172" spans="1:8" ht="12.75" customHeight="1">
      <c r="A172" s="23">
        <v>43405</v>
      </c>
      <c r="B172" s="23"/>
      <c r="C172" s="24">
        <f>ROUND(7.435,5)</f>
        <v>7.435</v>
      </c>
      <c r="D172" s="24">
        <f>F172</f>
        <v>7.40055</v>
      </c>
      <c r="E172" s="24">
        <f>F172</f>
        <v>7.40055</v>
      </c>
      <c r="F172" s="24">
        <f>ROUND(7.40055,5)</f>
        <v>7.40055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ROUND(9.49,5)</f>
        <v>9.49</v>
      </c>
      <c r="D174" s="24">
        <f>F174</f>
        <v>9.53585</v>
      </c>
      <c r="E174" s="24">
        <f>F174</f>
        <v>9.53585</v>
      </c>
      <c r="F174" s="24">
        <f>ROUND(9.53585,5)</f>
        <v>9.53585</v>
      </c>
      <c r="G174" s="25"/>
      <c r="H174" s="26"/>
    </row>
    <row r="175" spans="1:8" ht="12.75" customHeight="1">
      <c r="A175" s="23">
        <v>43132</v>
      </c>
      <c r="B175" s="23"/>
      <c r="C175" s="24">
        <f>ROUND(9.49,5)</f>
        <v>9.49</v>
      </c>
      <c r="D175" s="24">
        <f>F175</f>
        <v>9.59218</v>
      </c>
      <c r="E175" s="24">
        <f>F175</f>
        <v>9.59218</v>
      </c>
      <c r="F175" s="24">
        <f>ROUND(9.59218,5)</f>
        <v>9.59218</v>
      </c>
      <c r="G175" s="25"/>
      <c r="H175" s="26"/>
    </row>
    <row r="176" spans="1:8" ht="12.75" customHeight="1">
      <c r="A176" s="23">
        <v>43223</v>
      </c>
      <c r="B176" s="23"/>
      <c r="C176" s="24">
        <f>ROUND(9.49,5)</f>
        <v>9.49</v>
      </c>
      <c r="D176" s="24">
        <f>F176</f>
        <v>9.64583</v>
      </c>
      <c r="E176" s="24">
        <f>F176</f>
        <v>9.64583</v>
      </c>
      <c r="F176" s="24">
        <f>ROUND(9.64583,5)</f>
        <v>9.64583</v>
      </c>
      <c r="G176" s="25"/>
      <c r="H176" s="26"/>
    </row>
    <row r="177" spans="1:8" ht="12.75" customHeight="1">
      <c r="A177" s="23">
        <v>43314</v>
      </c>
      <c r="B177" s="23"/>
      <c r="C177" s="24">
        <f>ROUND(9.49,5)</f>
        <v>9.49</v>
      </c>
      <c r="D177" s="24">
        <f>F177</f>
        <v>9.69946</v>
      </c>
      <c r="E177" s="24">
        <f>F177</f>
        <v>9.69946</v>
      </c>
      <c r="F177" s="24">
        <f>ROUND(9.69946,5)</f>
        <v>9.69946</v>
      </c>
      <c r="G177" s="25"/>
      <c r="H177" s="26"/>
    </row>
    <row r="178" spans="1:8" ht="12.75" customHeight="1">
      <c r="A178" s="23">
        <v>43405</v>
      </c>
      <c r="B178" s="23"/>
      <c r="C178" s="24">
        <f>ROUND(9.49,5)</f>
        <v>9.49</v>
      </c>
      <c r="D178" s="24">
        <f>F178</f>
        <v>9.76132</v>
      </c>
      <c r="E178" s="24">
        <f>F178</f>
        <v>9.76132</v>
      </c>
      <c r="F178" s="24">
        <f>ROUND(9.76132,5)</f>
        <v>9.76132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ROUND(2.47,5)</f>
        <v>2.47</v>
      </c>
      <c r="D180" s="24">
        <f>F180</f>
        <v>186.14226</v>
      </c>
      <c r="E180" s="24">
        <f>F180</f>
        <v>186.14226</v>
      </c>
      <c r="F180" s="24">
        <f>ROUND(186.14226,5)</f>
        <v>186.14226</v>
      </c>
      <c r="G180" s="25"/>
      <c r="H180" s="26"/>
    </row>
    <row r="181" spans="1:8" ht="12.75" customHeight="1">
      <c r="A181" s="23">
        <v>43132</v>
      </c>
      <c r="B181" s="23"/>
      <c r="C181" s="24">
        <f>ROUND(2.47,5)</f>
        <v>2.47</v>
      </c>
      <c r="D181" s="24">
        <f>F181</f>
        <v>189.62452</v>
      </c>
      <c r="E181" s="24">
        <f>F181</f>
        <v>189.62452</v>
      </c>
      <c r="F181" s="24">
        <f>ROUND(189.62452,5)</f>
        <v>189.62452</v>
      </c>
      <c r="G181" s="25"/>
      <c r="H181" s="26"/>
    </row>
    <row r="182" spans="1:8" ht="12.75" customHeight="1">
      <c r="A182" s="23">
        <v>43223</v>
      </c>
      <c r="B182" s="23"/>
      <c r="C182" s="24">
        <f>ROUND(2.47,5)</f>
        <v>2.47</v>
      </c>
      <c r="D182" s="24">
        <f>F182</f>
        <v>190.81684</v>
      </c>
      <c r="E182" s="24">
        <f>F182</f>
        <v>190.81684</v>
      </c>
      <c r="F182" s="24">
        <f>ROUND(190.81684,5)</f>
        <v>190.81684</v>
      </c>
      <c r="G182" s="25"/>
      <c r="H182" s="26"/>
    </row>
    <row r="183" spans="1:8" ht="12.75" customHeight="1">
      <c r="A183" s="23">
        <v>43314</v>
      </c>
      <c r="B183" s="23"/>
      <c r="C183" s="24">
        <f>ROUND(2.47,5)</f>
        <v>2.47</v>
      </c>
      <c r="D183" s="24">
        <f>F183</f>
        <v>194.4214</v>
      </c>
      <c r="E183" s="24">
        <f>F183</f>
        <v>194.4214</v>
      </c>
      <c r="F183" s="24">
        <f>ROUND(194.4214,5)</f>
        <v>194.4214</v>
      </c>
      <c r="G183" s="25"/>
      <c r="H183" s="26"/>
    </row>
    <row r="184" spans="1:8" ht="12.75" customHeight="1">
      <c r="A184" s="23">
        <v>43405</v>
      </c>
      <c r="B184" s="23"/>
      <c r="C184" s="24">
        <f>ROUND(2.47,5)</f>
        <v>2.47</v>
      </c>
      <c r="D184" s="24">
        <f>F184</f>
        <v>197.94648</v>
      </c>
      <c r="E184" s="24">
        <f>F184</f>
        <v>197.94648</v>
      </c>
      <c r="F184" s="24">
        <f>ROUND(197.94648,5)</f>
        <v>197.94648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ROUND(2.42,5)</f>
        <v>2.42</v>
      </c>
      <c r="D188" s="24">
        <f>F188</f>
        <v>151.05085</v>
      </c>
      <c r="E188" s="24">
        <f>F188</f>
        <v>151.05085</v>
      </c>
      <c r="F188" s="24">
        <f>ROUND(151.05085,5)</f>
        <v>151.05085</v>
      </c>
      <c r="G188" s="25"/>
      <c r="H188" s="26"/>
    </row>
    <row r="189" spans="1:8" ht="12.75" customHeight="1">
      <c r="A189" s="23">
        <v>43132</v>
      </c>
      <c r="B189" s="23"/>
      <c r="C189" s="24">
        <f>ROUND(2.42,5)</f>
        <v>2.42</v>
      </c>
      <c r="D189" s="24">
        <f>F189</f>
        <v>151.81678</v>
      </c>
      <c r="E189" s="24">
        <f>F189</f>
        <v>151.81678</v>
      </c>
      <c r="F189" s="24">
        <f>ROUND(151.81678,5)</f>
        <v>151.81678</v>
      </c>
      <c r="G189" s="25"/>
      <c r="H189" s="26"/>
    </row>
    <row r="190" spans="1:8" ht="12.75" customHeight="1">
      <c r="A190" s="23">
        <v>43223</v>
      </c>
      <c r="B190" s="23"/>
      <c r="C190" s="24">
        <f>ROUND(2.42,5)</f>
        <v>2.42</v>
      </c>
      <c r="D190" s="24">
        <f>F190</f>
        <v>154.73179</v>
      </c>
      <c r="E190" s="24">
        <f>F190</f>
        <v>154.73179</v>
      </c>
      <c r="F190" s="24">
        <f>ROUND(154.73179,5)</f>
        <v>154.73179</v>
      </c>
      <c r="G190" s="25"/>
      <c r="H190" s="26"/>
    </row>
    <row r="191" spans="1:8" ht="12.75" customHeight="1">
      <c r="A191" s="23">
        <v>43314</v>
      </c>
      <c r="B191" s="23"/>
      <c r="C191" s="24">
        <f>ROUND(2.42,5)</f>
        <v>2.42</v>
      </c>
      <c r="D191" s="24">
        <f>F191</f>
        <v>157.65501</v>
      </c>
      <c r="E191" s="24">
        <f>F191</f>
        <v>157.65501</v>
      </c>
      <c r="F191" s="24">
        <f>ROUND(157.65501,5)</f>
        <v>157.65501</v>
      </c>
      <c r="G191" s="25"/>
      <c r="H191" s="26"/>
    </row>
    <row r="192" spans="1:8" ht="12.75" customHeight="1">
      <c r="A192" s="23">
        <v>43405</v>
      </c>
      <c r="B192" s="23"/>
      <c r="C192" s="24">
        <f>ROUND(2.42,5)</f>
        <v>2.42</v>
      </c>
      <c r="D192" s="24">
        <f>F192</f>
        <v>160.5141</v>
      </c>
      <c r="E192" s="24">
        <f>F192</f>
        <v>160.5141</v>
      </c>
      <c r="F192" s="24">
        <f>ROUND(160.5141,5)</f>
        <v>160.5141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ROUND(9.165,5)</f>
        <v>9.165</v>
      </c>
      <c r="D194" s="24">
        <f>F194</f>
        <v>9.21111</v>
      </c>
      <c r="E194" s="24">
        <f>F194</f>
        <v>9.21111</v>
      </c>
      <c r="F194" s="24">
        <f>ROUND(9.21111,5)</f>
        <v>9.21111</v>
      </c>
      <c r="G194" s="25"/>
      <c r="H194" s="26"/>
    </row>
    <row r="195" spans="1:8" ht="12.75" customHeight="1">
      <c r="A195" s="23">
        <v>43132</v>
      </c>
      <c r="B195" s="23"/>
      <c r="C195" s="24">
        <f>ROUND(9.165,5)</f>
        <v>9.165</v>
      </c>
      <c r="D195" s="24">
        <f>F195</f>
        <v>9.26905</v>
      </c>
      <c r="E195" s="24">
        <f>F195</f>
        <v>9.26905</v>
      </c>
      <c r="F195" s="24">
        <f>ROUND(9.26905,5)</f>
        <v>9.26905</v>
      </c>
      <c r="G195" s="25"/>
      <c r="H195" s="26"/>
    </row>
    <row r="196" spans="1:8" ht="12.75" customHeight="1">
      <c r="A196" s="23">
        <v>43223</v>
      </c>
      <c r="B196" s="23"/>
      <c r="C196" s="24">
        <f>ROUND(9.165,5)</f>
        <v>9.165</v>
      </c>
      <c r="D196" s="24">
        <f>F196</f>
        <v>9.32031</v>
      </c>
      <c r="E196" s="24">
        <f>F196</f>
        <v>9.32031</v>
      </c>
      <c r="F196" s="24">
        <f>ROUND(9.32031,5)</f>
        <v>9.32031</v>
      </c>
      <c r="G196" s="25"/>
      <c r="H196" s="26"/>
    </row>
    <row r="197" spans="1:8" ht="12.75" customHeight="1">
      <c r="A197" s="23">
        <v>43314</v>
      </c>
      <c r="B197" s="23"/>
      <c r="C197" s="24">
        <f>ROUND(9.165,5)</f>
        <v>9.165</v>
      </c>
      <c r="D197" s="24">
        <f>F197</f>
        <v>9.37213</v>
      </c>
      <c r="E197" s="24">
        <f>F197</f>
        <v>9.37213</v>
      </c>
      <c r="F197" s="24">
        <f>ROUND(9.37213,5)</f>
        <v>9.37213</v>
      </c>
      <c r="G197" s="25"/>
      <c r="H197" s="26"/>
    </row>
    <row r="198" spans="1:8" ht="12.75" customHeight="1">
      <c r="A198" s="23">
        <v>43405</v>
      </c>
      <c r="B198" s="23"/>
      <c r="C198" s="24">
        <f>ROUND(9.165,5)</f>
        <v>9.165</v>
      </c>
      <c r="D198" s="24">
        <f>F198</f>
        <v>9.43603</v>
      </c>
      <c r="E198" s="24">
        <f>F198</f>
        <v>9.43603</v>
      </c>
      <c r="F198" s="24">
        <f>ROUND(9.43603,5)</f>
        <v>9.43603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ROUND(9.62,5)</f>
        <v>9.62</v>
      </c>
      <c r="D200" s="24">
        <f>F200</f>
        <v>9.66692</v>
      </c>
      <c r="E200" s="24">
        <f>F200</f>
        <v>9.66692</v>
      </c>
      <c r="F200" s="24">
        <f>ROUND(9.66692,5)</f>
        <v>9.66692</v>
      </c>
      <c r="G200" s="25"/>
      <c r="H200" s="26"/>
    </row>
    <row r="201" spans="1:8" ht="12.75" customHeight="1">
      <c r="A201" s="23">
        <v>43132</v>
      </c>
      <c r="B201" s="23"/>
      <c r="C201" s="24">
        <f>ROUND(9.62,5)</f>
        <v>9.62</v>
      </c>
      <c r="D201" s="24">
        <f>F201</f>
        <v>9.7255</v>
      </c>
      <c r="E201" s="24">
        <f>F201</f>
        <v>9.7255</v>
      </c>
      <c r="F201" s="24">
        <f>ROUND(9.7255,5)</f>
        <v>9.7255</v>
      </c>
      <c r="G201" s="25"/>
      <c r="H201" s="26"/>
    </row>
    <row r="202" spans="1:8" ht="12.75" customHeight="1">
      <c r="A202" s="23">
        <v>43223</v>
      </c>
      <c r="B202" s="23"/>
      <c r="C202" s="24">
        <f>ROUND(9.62,5)</f>
        <v>9.62</v>
      </c>
      <c r="D202" s="24">
        <f>F202</f>
        <v>9.77818</v>
      </c>
      <c r="E202" s="24">
        <f>F202</f>
        <v>9.77818</v>
      </c>
      <c r="F202" s="24">
        <f>ROUND(9.77818,5)</f>
        <v>9.77818</v>
      </c>
      <c r="G202" s="25"/>
      <c r="H202" s="26"/>
    </row>
    <row r="203" spans="1:8" ht="12.75" customHeight="1">
      <c r="A203" s="23">
        <v>43314</v>
      </c>
      <c r="B203" s="23"/>
      <c r="C203" s="24">
        <f>ROUND(9.62,5)</f>
        <v>9.62</v>
      </c>
      <c r="D203" s="24">
        <f>F203</f>
        <v>9.83127</v>
      </c>
      <c r="E203" s="24">
        <f>F203</f>
        <v>9.83127</v>
      </c>
      <c r="F203" s="24">
        <f>ROUND(9.83127,5)</f>
        <v>9.83127</v>
      </c>
      <c r="G203" s="25"/>
      <c r="H203" s="26"/>
    </row>
    <row r="204" spans="1:8" ht="12.75" customHeight="1">
      <c r="A204" s="23">
        <v>43405</v>
      </c>
      <c r="B204" s="23"/>
      <c r="C204" s="24">
        <f>ROUND(9.62,5)</f>
        <v>9.62</v>
      </c>
      <c r="D204" s="24">
        <f>F204</f>
        <v>9.89381</v>
      </c>
      <c r="E204" s="24">
        <f>F204</f>
        <v>9.89381</v>
      </c>
      <c r="F204" s="24">
        <f>ROUND(9.89381,5)</f>
        <v>9.89381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ROUND(9.715,5)</f>
        <v>9.715</v>
      </c>
      <c r="D206" s="24">
        <f>F206</f>
        <v>9.76426</v>
      </c>
      <c r="E206" s="24">
        <f>F206</f>
        <v>9.76426</v>
      </c>
      <c r="F206" s="24">
        <f>ROUND(9.76426,5)</f>
        <v>9.76426</v>
      </c>
      <c r="G206" s="25"/>
      <c r="H206" s="26"/>
    </row>
    <row r="207" spans="1:8" ht="12.75" customHeight="1">
      <c r="A207" s="23">
        <v>43132</v>
      </c>
      <c r="B207" s="23"/>
      <c r="C207" s="24">
        <f>ROUND(9.715,5)</f>
        <v>9.715</v>
      </c>
      <c r="D207" s="24">
        <f>F207</f>
        <v>9.82585</v>
      </c>
      <c r="E207" s="24">
        <f>F207</f>
        <v>9.82585</v>
      </c>
      <c r="F207" s="24">
        <f>ROUND(9.82585,5)</f>
        <v>9.82585</v>
      </c>
      <c r="G207" s="25"/>
      <c r="H207" s="26"/>
    </row>
    <row r="208" spans="1:8" ht="12.75" customHeight="1">
      <c r="A208" s="23">
        <v>43223</v>
      </c>
      <c r="B208" s="23"/>
      <c r="C208" s="24">
        <f>ROUND(9.715,5)</f>
        <v>9.715</v>
      </c>
      <c r="D208" s="24">
        <f>F208</f>
        <v>9.88148</v>
      </c>
      <c r="E208" s="24">
        <f>F208</f>
        <v>9.88148</v>
      </c>
      <c r="F208" s="24">
        <f>ROUND(9.88148,5)</f>
        <v>9.88148</v>
      </c>
      <c r="G208" s="25"/>
      <c r="H208" s="26"/>
    </row>
    <row r="209" spans="1:8" ht="12.75" customHeight="1">
      <c r="A209" s="23">
        <v>43314</v>
      </c>
      <c r="B209" s="23"/>
      <c r="C209" s="24">
        <f>ROUND(9.715,5)</f>
        <v>9.715</v>
      </c>
      <c r="D209" s="24">
        <f>F209</f>
        <v>9.93767</v>
      </c>
      <c r="E209" s="24">
        <f>F209</f>
        <v>9.93767</v>
      </c>
      <c r="F209" s="24">
        <f>ROUND(9.93767,5)</f>
        <v>9.93767</v>
      </c>
      <c r="G209" s="25"/>
      <c r="H209" s="26"/>
    </row>
    <row r="210" spans="1:8" ht="12.75" customHeight="1">
      <c r="A210" s="23">
        <v>43405</v>
      </c>
      <c r="B210" s="23"/>
      <c r="C210" s="24">
        <f>ROUND(9.715,5)</f>
        <v>9.715</v>
      </c>
      <c r="D210" s="24">
        <f>F210</f>
        <v>10.00346</v>
      </c>
      <c r="E210" s="24">
        <f>F210</f>
        <v>10.00346</v>
      </c>
      <c r="F210" s="24">
        <f>ROUND(10.00346,5)</f>
        <v>10.00346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42965</v>
      </c>
      <c r="B212" s="23"/>
      <c r="C212" s="28">
        <f>ROUND(15.5168080833333,4)</f>
        <v>15.5168</v>
      </c>
      <c r="D212" s="28">
        <f>F212</f>
        <v>15.5266</v>
      </c>
      <c r="E212" s="28">
        <f>F212</f>
        <v>15.5266</v>
      </c>
      <c r="F212" s="28">
        <f>ROUND(15.5266,4)</f>
        <v>15.5266</v>
      </c>
      <c r="G212" s="25"/>
      <c r="H212" s="26"/>
    </row>
    <row r="213" spans="1:8" ht="12.75" customHeight="1">
      <c r="A213" s="23">
        <v>42976</v>
      </c>
      <c r="B213" s="23"/>
      <c r="C213" s="28">
        <f>ROUND(15.5168080833333,4)</f>
        <v>15.5168</v>
      </c>
      <c r="D213" s="28">
        <f>F213</f>
        <v>15.5405</v>
      </c>
      <c r="E213" s="28">
        <f>F213</f>
        <v>15.5405</v>
      </c>
      <c r="F213" s="28">
        <f>ROUND(15.5405,4)</f>
        <v>15.5405</v>
      </c>
      <c r="G213" s="25"/>
      <c r="H213" s="26"/>
    </row>
    <row r="214" spans="1:8" ht="12.75" customHeight="1">
      <c r="A214" s="23">
        <v>43005</v>
      </c>
      <c r="B214" s="23"/>
      <c r="C214" s="28">
        <f>ROUND(15.5168080833333,4)</f>
        <v>15.5168</v>
      </c>
      <c r="D214" s="28">
        <f>F214</f>
        <v>15.6373</v>
      </c>
      <c r="E214" s="28">
        <f>F214</f>
        <v>15.6373</v>
      </c>
      <c r="F214" s="28">
        <f>ROUND(15.6373,4)</f>
        <v>15.6373</v>
      </c>
      <c r="G214" s="25"/>
      <c r="H214" s="26"/>
    </row>
    <row r="215" spans="1:8" ht="12.75" customHeight="1">
      <c r="A215" s="23">
        <v>43035</v>
      </c>
      <c r="B215" s="23"/>
      <c r="C215" s="28">
        <f>ROUND(15.5168080833333,4)</f>
        <v>15.5168</v>
      </c>
      <c r="D215" s="28">
        <f>F215</f>
        <v>15.7375</v>
      </c>
      <c r="E215" s="28">
        <f>F215</f>
        <v>15.7375</v>
      </c>
      <c r="F215" s="28">
        <f>ROUND(15.7375,4)</f>
        <v>15.7375</v>
      </c>
      <c r="G215" s="25"/>
      <c r="H215" s="26"/>
    </row>
    <row r="216" spans="1:8" ht="12.75" customHeight="1">
      <c r="A216" s="23">
        <v>43067</v>
      </c>
      <c r="B216" s="23"/>
      <c r="C216" s="28">
        <f>ROUND(15.5168080833333,4)</f>
        <v>15.5168</v>
      </c>
      <c r="D216" s="28">
        <f>F216</f>
        <v>15.8417</v>
      </c>
      <c r="E216" s="28">
        <f>F216</f>
        <v>15.8417</v>
      </c>
      <c r="F216" s="28">
        <f>ROUND(15.8417,4)</f>
        <v>15.8417</v>
      </c>
      <c r="G216" s="25"/>
      <c r="H216" s="26"/>
    </row>
    <row r="217" spans="1:8" ht="12.75" customHeight="1">
      <c r="A217" s="23">
        <v>43096</v>
      </c>
      <c r="B217" s="23"/>
      <c r="C217" s="28">
        <f>ROUND(15.5168080833333,4)</f>
        <v>15.5168</v>
      </c>
      <c r="D217" s="28">
        <f>F217</f>
        <v>15.9377</v>
      </c>
      <c r="E217" s="28">
        <f>F217</f>
        <v>15.9377</v>
      </c>
      <c r="F217" s="28">
        <f>ROUND(15.9377,4)</f>
        <v>15.9377</v>
      </c>
      <c r="G217" s="25"/>
      <c r="H217" s="26"/>
    </row>
    <row r="218" spans="1:8" ht="12.75" customHeight="1">
      <c r="A218" s="23">
        <v>43131</v>
      </c>
      <c r="B218" s="23"/>
      <c r="C218" s="28">
        <f>ROUND(15.5168080833333,4)</f>
        <v>15.5168</v>
      </c>
      <c r="D218" s="28">
        <f>F218</f>
        <v>16.058</v>
      </c>
      <c r="E218" s="28">
        <f>F218</f>
        <v>16.058</v>
      </c>
      <c r="F218" s="28">
        <f>ROUND(16.058,4)</f>
        <v>16.058</v>
      </c>
      <c r="G218" s="25"/>
      <c r="H218" s="26"/>
    </row>
    <row r="219" spans="1:8" ht="12.75" customHeight="1">
      <c r="A219" s="23" t="s">
        <v>60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42978</v>
      </c>
      <c r="B220" s="23"/>
      <c r="C220" s="28">
        <f>ROUND(16.9835209270833,4)</f>
        <v>16.9835</v>
      </c>
      <c r="D220" s="28">
        <f>F220</f>
        <v>17.0132</v>
      </c>
      <c r="E220" s="28">
        <f>F220</f>
        <v>17.0132</v>
      </c>
      <c r="F220" s="28">
        <f>ROUND(17.0132,4)</f>
        <v>17.0132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42972</v>
      </c>
      <c r="B222" s="23"/>
      <c r="C222" s="28">
        <f>ROUND(13.2091666666667,4)</f>
        <v>13.2092</v>
      </c>
      <c r="D222" s="28">
        <f>F222</f>
        <v>13.2158</v>
      </c>
      <c r="E222" s="28">
        <f>F222</f>
        <v>13.2158</v>
      </c>
      <c r="F222" s="28">
        <f>ROUND(13.2158,4)</f>
        <v>13.2158</v>
      </c>
      <c r="G222" s="25"/>
      <c r="H222" s="26"/>
    </row>
    <row r="223" spans="1:8" ht="12.75" customHeight="1">
      <c r="A223" s="23">
        <v>42976</v>
      </c>
      <c r="B223" s="23"/>
      <c r="C223" s="28">
        <f>ROUND(13.2091666666667,4)</f>
        <v>13.2092</v>
      </c>
      <c r="D223" s="28">
        <f>F223</f>
        <v>13.2246</v>
      </c>
      <c r="E223" s="28">
        <f>F223</f>
        <v>13.2246</v>
      </c>
      <c r="F223" s="28">
        <f>ROUND(13.2246,4)</f>
        <v>13.2246</v>
      </c>
      <c r="G223" s="25"/>
      <c r="H223" s="26"/>
    </row>
    <row r="224" spans="1:8" ht="12.75" customHeight="1">
      <c r="A224" s="23">
        <v>42977</v>
      </c>
      <c r="B224" s="23"/>
      <c r="C224" s="28">
        <f>ROUND(13.2091666666667,4)</f>
        <v>13.2092</v>
      </c>
      <c r="D224" s="28">
        <f>F224</f>
        <v>13.2268</v>
      </c>
      <c r="E224" s="28">
        <f>F224</f>
        <v>13.2268</v>
      </c>
      <c r="F224" s="28">
        <f>ROUND(13.2268,4)</f>
        <v>13.2268</v>
      </c>
      <c r="G224" s="25"/>
      <c r="H224" s="26"/>
    </row>
    <row r="225" spans="1:8" ht="12.75" customHeight="1">
      <c r="A225" s="23">
        <v>42978</v>
      </c>
      <c r="B225" s="23"/>
      <c r="C225" s="28">
        <f>ROUND(13.2091666666667,4)</f>
        <v>13.2092</v>
      </c>
      <c r="D225" s="28">
        <f>F225</f>
        <v>13.2289</v>
      </c>
      <c r="E225" s="28">
        <f>F225</f>
        <v>13.2289</v>
      </c>
      <c r="F225" s="28">
        <f>ROUND(13.2289,4)</f>
        <v>13.2289</v>
      </c>
      <c r="G225" s="25"/>
      <c r="H225" s="26"/>
    </row>
    <row r="226" spans="1:8" ht="12.75" customHeight="1">
      <c r="A226" s="23">
        <v>42979</v>
      </c>
      <c r="B226" s="23"/>
      <c r="C226" s="28">
        <f>ROUND(13.2091666666667,4)</f>
        <v>13.2092</v>
      </c>
      <c r="D226" s="28">
        <f>F226</f>
        <v>13.2311</v>
      </c>
      <c r="E226" s="28">
        <f>F226</f>
        <v>13.2311</v>
      </c>
      <c r="F226" s="28">
        <f>ROUND(13.2311,4)</f>
        <v>13.2311</v>
      </c>
      <c r="G226" s="25"/>
      <c r="H226" s="26"/>
    </row>
    <row r="227" spans="1:8" ht="12.75" customHeight="1">
      <c r="A227" s="23">
        <v>42983</v>
      </c>
      <c r="B227" s="23"/>
      <c r="C227" s="28">
        <f>ROUND(13.2091666666667,4)</f>
        <v>13.2092</v>
      </c>
      <c r="D227" s="28">
        <f>F227</f>
        <v>13.2397</v>
      </c>
      <c r="E227" s="28">
        <f>F227</f>
        <v>13.2397</v>
      </c>
      <c r="F227" s="28">
        <f>ROUND(13.2397,4)</f>
        <v>13.2397</v>
      </c>
      <c r="G227" s="25"/>
      <c r="H227" s="26"/>
    </row>
    <row r="228" spans="1:8" ht="12.75" customHeight="1">
      <c r="A228" s="23">
        <v>42985</v>
      </c>
      <c r="B228" s="23"/>
      <c r="C228" s="28">
        <f>ROUND(13.2091666666667,4)</f>
        <v>13.2092</v>
      </c>
      <c r="D228" s="28">
        <f>F228</f>
        <v>13.244</v>
      </c>
      <c r="E228" s="28">
        <f>F228</f>
        <v>13.244</v>
      </c>
      <c r="F228" s="28">
        <f>ROUND(13.244,4)</f>
        <v>13.244</v>
      </c>
      <c r="G228" s="25"/>
      <c r="H228" s="26"/>
    </row>
    <row r="229" spans="1:8" ht="12.75" customHeight="1">
      <c r="A229" s="23">
        <v>43004</v>
      </c>
      <c r="B229" s="23"/>
      <c r="C229" s="28">
        <f>ROUND(13.2091666666667,4)</f>
        <v>13.2092</v>
      </c>
      <c r="D229" s="28">
        <f>F229</f>
        <v>13.2847</v>
      </c>
      <c r="E229" s="28">
        <f>F229</f>
        <v>13.2847</v>
      </c>
      <c r="F229" s="28">
        <f>ROUND(13.2847,4)</f>
        <v>13.2847</v>
      </c>
      <c r="G229" s="25"/>
      <c r="H229" s="26"/>
    </row>
    <row r="230" spans="1:8" ht="12.75" customHeight="1">
      <c r="A230" s="23">
        <v>43005</v>
      </c>
      <c r="B230" s="23"/>
      <c r="C230" s="28">
        <f>ROUND(13.2091666666667,4)</f>
        <v>13.2092</v>
      </c>
      <c r="D230" s="28">
        <f>F230</f>
        <v>13.2868</v>
      </c>
      <c r="E230" s="28">
        <f>F230</f>
        <v>13.2868</v>
      </c>
      <c r="F230" s="28">
        <f>ROUND(13.2868,4)</f>
        <v>13.2868</v>
      </c>
      <c r="G230" s="25"/>
      <c r="H230" s="26"/>
    </row>
    <row r="231" spans="1:8" ht="12.75" customHeight="1">
      <c r="A231" s="23">
        <v>43006</v>
      </c>
      <c r="B231" s="23"/>
      <c r="C231" s="28">
        <f>ROUND(13.2091666666667,4)</f>
        <v>13.2092</v>
      </c>
      <c r="D231" s="28">
        <f>F231</f>
        <v>13.2889</v>
      </c>
      <c r="E231" s="28">
        <f>F231</f>
        <v>13.2889</v>
      </c>
      <c r="F231" s="28">
        <f>ROUND(13.2889,4)</f>
        <v>13.2889</v>
      </c>
      <c r="G231" s="25"/>
      <c r="H231" s="26"/>
    </row>
    <row r="232" spans="1:8" ht="12.75" customHeight="1">
      <c r="A232" s="23">
        <v>43007</v>
      </c>
      <c r="B232" s="23"/>
      <c r="C232" s="28">
        <f>ROUND(13.2091666666667,4)</f>
        <v>13.2092</v>
      </c>
      <c r="D232" s="28">
        <f>F232</f>
        <v>13.291</v>
      </c>
      <c r="E232" s="28">
        <f>F232</f>
        <v>13.291</v>
      </c>
      <c r="F232" s="28">
        <f>ROUND(13.291,4)</f>
        <v>13.291</v>
      </c>
      <c r="G232" s="25"/>
      <c r="H232" s="26"/>
    </row>
    <row r="233" spans="1:8" ht="12.75" customHeight="1">
      <c r="A233" s="23">
        <v>43021</v>
      </c>
      <c r="B233" s="23"/>
      <c r="C233" s="28">
        <f>ROUND(13.2091666666667,4)</f>
        <v>13.2092</v>
      </c>
      <c r="D233" s="28">
        <f>F233</f>
        <v>13.3205</v>
      </c>
      <c r="E233" s="28">
        <f>F233</f>
        <v>13.3205</v>
      </c>
      <c r="F233" s="28">
        <f>ROUND(13.3205,4)</f>
        <v>13.3205</v>
      </c>
      <c r="G233" s="25"/>
      <c r="H233" s="26"/>
    </row>
    <row r="234" spans="1:8" ht="12.75" customHeight="1">
      <c r="A234" s="23">
        <v>43031</v>
      </c>
      <c r="B234" s="23"/>
      <c r="C234" s="28">
        <f>ROUND(13.2091666666667,4)</f>
        <v>13.2092</v>
      </c>
      <c r="D234" s="28">
        <f>F234</f>
        <v>13.3415</v>
      </c>
      <c r="E234" s="28">
        <f>F234</f>
        <v>13.3415</v>
      </c>
      <c r="F234" s="28">
        <f>ROUND(13.3415,4)</f>
        <v>13.3415</v>
      </c>
      <c r="G234" s="25"/>
      <c r="H234" s="26"/>
    </row>
    <row r="235" spans="1:8" ht="12.75" customHeight="1">
      <c r="A235" s="23">
        <v>43035</v>
      </c>
      <c r="B235" s="23"/>
      <c r="C235" s="28">
        <f>ROUND(13.2091666666667,4)</f>
        <v>13.2092</v>
      </c>
      <c r="D235" s="28">
        <f>F235</f>
        <v>13.3497</v>
      </c>
      <c r="E235" s="28">
        <f>F235</f>
        <v>13.3497</v>
      </c>
      <c r="F235" s="28">
        <f>ROUND(13.3497,4)</f>
        <v>13.3497</v>
      </c>
      <c r="G235" s="25"/>
      <c r="H235" s="26"/>
    </row>
    <row r="236" spans="1:8" ht="12.75" customHeight="1">
      <c r="A236" s="23">
        <v>43048</v>
      </c>
      <c r="B236" s="23"/>
      <c r="C236" s="28">
        <f>ROUND(13.2091666666667,4)</f>
        <v>13.2092</v>
      </c>
      <c r="D236" s="28">
        <f>F236</f>
        <v>13.3765</v>
      </c>
      <c r="E236" s="28">
        <f>F236</f>
        <v>13.3765</v>
      </c>
      <c r="F236" s="28">
        <f>ROUND(13.3765,4)</f>
        <v>13.3765</v>
      </c>
      <c r="G236" s="25"/>
      <c r="H236" s="26"/>
    </row>
    <row r="237" spans="1:8" ht="12.75" customHeight="1">
      <c r="A237" s="23">
        <v>43052</v>
      </c>
      <c r="B237" s="23"/>
      <c r="C237" s="28">
        <f>ROUND(13.2091666666667,4)</f>
        <v>13.2092</v>
      </c>
      <c r="D237" s="28">
        <f>F237</f>
        <v>13.3847</v>
      </c>
      <c r="E237" s="28">
        <f>F237</f>
        <v>13.3847</v>
      </c>
      <c r="F237" s="28">
        <f>ROUND(13.3847,4)</f>
        <v>13.3847</v>
      </c>
      <c r="G237" s="25"/>
      <c r="H237" s="26"/>
    </row>
    <row r="238" spans="1:8" ht="12.75" customHeight="1">
      <c r="A238" s="23">
        <v>43067</v>
      </c>
      <c r="B238" s="23"/>
      <c r="C238" s="28">
        <f>ROUND(13.2091666666667,4)</f>
        <v>13.2092</v>
      </c>
      <c r="D238" s="28">
        <f>F238</f>
        <v>13.4156</v>
      </c>
      <c r="E238" s="28">
        <f>F238</f>
        <v>13.4156</v>
      </c>
      <c r="F238" s="28">
        <f>ROUND(13.4156,4)</f>
        <v>13.4156</v>
      </c>
      <c r="G238" s="25"/>
      <c r="H238" s="26"/>
    </row>
    <row r="239" spans="1:8" ht="12.75" customHeight="1">
      <c r="A239" s="23">
        <v>43069</v>
      </c>
      <c r="B239" s="23"/>
      <c r="C239" s="28">
        <f>ROUND(13.2091666666667,4)</f>
        <v>13.2092</v>
      </c>
      <c r="D239" s="28">
        <f>F239</f>
        <v>13.4197</v>
      </c>
      <c r="E239" s="28">
        <f>F239</f>
        <v>13.4197</v>
      </c>
      <c r="F239" s="28">
        <f>ROUND(13.4197,4)</f>
        <v>13.4197</v>
      </c>
      <c r="G239" s="25"/>
      <c r="H239" s="26"/>
    </row>
    <row r="240" spans="1:8" ht="12.75" customHeight="1">
      <c r="A240" s="23">
        <v>43084</v>
      </c>
      <c r="B240" s="23"/>
      <c r="C240" s="28">
        <f>ROUND(13.2091666666667,4)</f>
        <v>13.2092</v>
      </c>
      <c r="D240" s="28">
        <f>F240</f>
        <v>13.4507</v>
      </c>
      <c r="E240" s="28">
        <f>F240</f>
        <v>13.4507</v>
      </c>
      <c r="F240" s="28">
        <f>ROUND(13.4507,4)</f>
        <v>13.4507</v>
      </c>
      <c r="G240" s="25"/>
      <c r="H240" s="26"/>
    </row>
    <row r="241" spans="1:8" ht="12.75" customHeight="1">
      <c r="A241" s="23">
        <v>43091</v>
      </c>
      <c r="B241" s="23"/>
      <c r="C241" s="28">
        <f>ROUND(13.2091666666667,4)</f>
        <v>13.2092</v>
      </c>
      <c r="D241" s="28">
        <f>F241</f>
        <v>13.4651</v>
      </c>
      <c r="E241" s="28">
        <f>F241</f>
        <v>13.4651</v>
      </c>
      <c r="F241" s="28">
        <f>ROUND(13.4651,4)</f>
        <v>13.4651</v>
      </c>
      <c r="G241" s="25"/>
      <c r="H241" s="26"/>
    </row>
    <row r="242" spans="1:8" ht="12.75" customHeight="1">
      <c r="A242" s="23">
        <v>43096</v>
      </c>
      <c r="B242" s="23"/>
      <c r="C242" s="28">
        <f>ROUND(13.2091666666667,4)</f>
        <v>13.2092</v>
      </c>
      <c r="D242" s="28">
        <f>F242</f>
        <v>13.4754</v>
      </c>
      <c r="E242" s="28">
        <f>F242</f>
        <v>13.4754</v>
      </c>
      <c r="F242" s="28">
        <f>ROUND(13.4754,4)</f>
        <v>13.4754</v>
      </c>
      <c r="G242" s="25"/>
      <c r="H242" s="26"/>
    </row>
    <row r="243" spans="1:8" ht="12.75" customHeight="1">
      <c r="A243" s="23">
        <v>43102</v>
      </c>
      <c r="B243" s="23"/>
      <c r="C243" s="28">
        <f>ROUND(13.2091666666667,4)</f>
        <v>13.2092</v>
      </c>
      <c r="D243" s="28">
        <f>F243</f>
        <v>13.4878</v>
      </c>
      <c r="E243" s="28">
        <f>F243</f>
        <v>13.4878</v>
      </c>
      <c r="F243" s="28">
        <f>ROUND(13.4878,4)</f>
        <v>13.4878</v>
      </c>
      <c r="G243" s="25"/>
      <c r="H243" s="26"/>
    </row>
    <row r="244" spans="1:8" ht="12.75" customHeight="1">
      <c r="A244" s="23">
        <v>43109</v>
      </c>
      <c r="B244" s="23"/>
      <c r="C244" s="28">
        <f>ROUND(13.2091666666667,4)</f>
        <v>13.2092</v>
      </c>
      <c r="D244" s="28">
        <f>F244</f>
        <v>13.5022</v>
      </c>
      <c r="E244" s="28">
        <f>F244</f>
        <v>13.5022</v>
      </c>
      <c r="F244" s="28">
        <f>ROUND(13.5022,4)</f>
        <v>13.5022</v>
      </c>
      <c r="G244" s="25"/>
      <c r="H244" s="26"/>
    </row>
    <row r="245" spans="1:8" ht="12.75" customHeight="1">
      <c r="A245" s="23">
        <v>43131</v>
      </c>
      <c r="B245" s="23"/>
      <c r="C245" s="28">
        <f>ROUND(13.2091666666667,4)</f>
        <v>13.2092</v>
      </c>
      <c r="D245" s="28">
        <f>F245</f>
        <v>13.5476</v>
      </c>
      <c r="E245" s="28">
        <f>F245</f>
        <v>13.5476</v>
      </c>
      <c r="F245" s="28">
        <f>ROUND(13.5476,4)</f>
        <v>13.5476</v>
      </c>
      <c r="G245" s="25"/>
      <c r="H245" s="26"/>
    </row>
    <row r="246" spans="1:8" ht="12.75" customHeight="1">
      <c r="A246" s="23">
        <v>43132</v>
      </c>
      <c r="B246" s="23"/>
      <c r="C246" s="28">
        <f>ROUND(13.2091666666667,4)</f>
        <v>13.2092</v>
      </c>
      <c r="D246" s="28">
        <f>F246</f>
        <v>13.5497</v>
      </c>
      <c r="E246" s="28">
        <f>F246</f>
        <v>13.5497</v>
      </c>
      <c r="F246" s="28">
        <f>ROUND(13.5497,4)</f>
        <v>13.5497</v>
      </c>
      <c r="G246" s="25"/>
      <c r="H246" s="26"/>
    </row>
    <row r="247" spans="1:8" ht="12.75" customHeight="1">
      <c r="A247" s="23">
        <v>43144</v>
      </c>
      <c r="B247" s="23"/>
      <c r="C247" s="28">
        <f>ROUND(13.2091666666667,4)</f>
        <v>13.2092</v>
      </c>
      <c r="D247" s="28">
        <f>F247</f>
        <v>13.5744</v>
      </c>
      <c r="E247" s="28">
        <f>F247</f>
        <v>13.5744</v>
      </c>
      <c r="F247" s="28">
        <f>ROUND(13.5744,4)</f>
        <v>13.5744</v>
      </c>
      <c r="G247" s="25"/>
      <c r="H247" s="26"/>
    </row>
    <row r="248" spans="1:8" ht="12.75" customHeight="1">
      <c r="A248" s="23">
        <v>43146</v>
      </c>
      <c r="B248" s="23"/>
      <c r="C248" s="28">
        <f>ROUND(13.2091666666667,4)</f>
        <v>13.2092</v>
      </c>
      <c r="D248" s="28">
        <f>F248</f>
        <v>13.5785</v>
      </c>
      <c r="E248" s="28">
        <f>F248</f>
        <v>13.5785</v>
      </c>
      <c r="F248" s="28">
        <f>ROUND(13.5785,4)</f>
        <v>13.5785</v>
      </c>
      <c r="G248" s="25"/>
      <c r="H248" s="26"/>
    </row>
    <row r="249" spans="1:8" ht="12.75" customHeight="1">
      <c r="A249" s="23">
        <v>43215</v>
      </c>
      <c r="B249" s="23"/>
      <c r="C249" s="28">
        <f>ROUND(13.2091666666667,4)</f>
        <v>13.2092</v>
      </c>
      <c r="D249" s="28">
        <f>F249</f>
        <v>13.7168</v>
      </c>
      <c r="E249" s="28">
        <f>F249</f>
        <v>13.7168</v>
      </c>
      <c r="F249" s="28">
        <f>ROUND(13.7168,4)</f>
        <v>13.7168</v>
      </c>
      <c r="G249" s="25"/>
      <c r="H249" s="26"/>
    </row>
    <row r="250" spans="1:8" ht="12.75" customHeight="1">
      <c r="A250" s="23">
        <v>43231</v>
      </c>
      <c r="B250" s="23"/>
      <c r="C250" s="28">
        <f>ROUND(13.2091666666667,4)</f>
        <v>13.2092</v>
      </c>
      <c r="D250" s="28">
        <f>F250</f>
        <v>13.7488</v>
      </c>
      <c r="E250" s="28">
        <f>F250</f>
        <v>13.7488</v>
      </c>
      <c r="F250" s="28">
        <f>ROUND(13.7488,4)</f>
        <v>13.7488</v>
      </c>
      <c r="G250" s="25"/>
      <c r="H250" s="26"/>
    </row>
    <row r="251" spans="1:8" ht="12.75" customHeight="1">
      <c r="A251" s="23">
        <v>43235</v>
      </c>
      <c r="B251" s="23"/>
      <c r="C251" s="28">
        <f>ROUND(13.2091666666667,4)</f>
        <v>13.2092</v>
      </c>
      <c r="D251" s="28">
        <f>F251</f>
        <v>13.7568</v>
      </c>
      <c r="E251" s="28">
        <f>F251</f>
        <v>13.7568</v>
      </c>
      <c r="F251" s="28">
        <f>ROUND(13.7568,4)</f>
        <v>13.7568</v>
      </c>
      <c r="G251" s="25"/>
      <c r="H251" s="26"/>
    </row>
    <row r="252" spans="1:8" ht="12.75" customHeight="1">
      <c r="A252" s="23">
        <v>43283</v>
      </c>
      <c r="B252" s="23"/>
      <c r="C252" s="28">
        <f>ROUND(13.2091666666667,4)</f>
        <v>13.2092</v>
      </c>
      <c r="D252" s="28">
        <f>F252</f>
        <v>13.8515</v>
      </c>
      <c r="E252" s="28">
        <f>F252</f>
        <v>13.8515</v>
      </c>
      <c r="F252" s="28">
        <f>ROUND(13.8515,4)</f>
        <v>13.8515</v>
      </c>
      <c r="G252" s="25"/>
      <c r="H252" s="26"/>
    </row>
    <row r="253" spans="1:8" ht="12.75" customHeight="1">
      <c r="A253" s="23">
        <v>43325</v>
      </c>
      <c r="B253" s="23"/>
      <c r="C253" s="28">
        <f>ROUND(13.2091666666667,4)</f>
        <v>13.2092</v>
      </c>
      <c r="D253" s="28">
        <f>F253</f>
        <v>13.9341</v>
      </c>
      <c r="E253" s="28">
        <f>F253</f>
        <v>13.9341</v>
      </c>
      <c r="F253" s="28">
        <f>ROUND(13.9341,4)</f>
        <v>13.9341</v>
      </c>
      <c r="G253" s="25"/>
      <c r="H253" s="26"/>
    </row>
    <row r="254" spans="1:8" ht="12.75" customHeight="1">
      <c r="A254" s="23">
        <v>43417</v>
      </c>
      <c r="B254" s="23"/>
      <c r="C254" s="28">
        <f>ROUND(13.2091666666667,4)</f>
        <v>13.2092</v>
      </c>
      <c r="D254" s="28">
        <f>F254</f>
        <v>14.1239</v>
      </c>
      <c r="E254" s="28">
        <f>F254</f>
        <v>14.1239</v>
      </c>
      <c r="F254" s="28">
        <f>ROUND(14.1239,4)</f>
        <v>14.1239</v>
      </c>
      <c r="G254" s="25"/>
      <c r="H254" s="26"/>
    </row>
    <row r="255" spans="1:8" ht="12.75" customHeight="1">
      <c r="A255" s="23">
        <v>43509</v>
      </c>
      <c r="B255" s="23"/>
      <c r="C255" s="28">
        <f>ROUND(13.2091666666667,4)</f>
        <v>13.2092</v>
      </c>
      <c r="D255" s="28">
        <f>F255</f>
        <v>14.3147</v>
      </c>
      <c r="E255" s="28">
        <f>F255</f>
        <v>14.3147</v>
      </c>
      <c r="F255" s="28">
        <f>ROUND(14.3147,4)</f>
        <v>14.3147</v>
      </c>
      <c r="G255" s="25"/>
      <c r="H255" s="26"/>
    </row>
    <row r="256" spans="1:8" ht="12.75" customHeight="1">
      <c r="A256" s="23">
        <v>44040</v>
      </c>
      <c r="B256" s="23"/>
      <c r="C256" s="28">
        <f>ROUND(13.2091666666667,4)</f>
        <v>13.2092</v>
      </c>
      <c r="D256" s="28">
        <f>F256</f>
        <v>15.5586</v>
      </c>
      <c r="E256" s="28">
        <f>F256</f>
        <v>15.5586</v>
      </c>
      <c r="F256" s="28">
        <f>ROUND(15.5586,4)</f>
        <v>15.5586</v>
      </c>
      <c r="G256" s="25"/>
      <c r="H256" s="26"/>
    </row>
    <row r="257" spans="1:8" ht="12.75" customHeight="1">
      <c r="A257" s="23" t="s">
        <v>62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42996</v>
      </c>
      <c r="B258" s="23"/>
      <c r="C258" s="28">
        <f>ROUND(1.1747,4)</f>
        <v>1.1747</v>
      </c>
      <c r="D258" s="28">
        <f>F258</f>
        <v>1.1763</v>
      </c>
      <c r="E258" s="28">
        <f>F258</f>
        <v>1.1763</v>
      </c>
      <c r="F258" s="28">
        <f>ROUND(1.1763,4)</f>
        <v>1.1763</v>
      </c>
      <c r="G258" s="25"/>
      <c r="H258" s="26"/>
    </row>
    <row r="259" spans="1:8" ht="12.75" customHeight="1">
      <c r="A259" s="23">
        <v>43087</v>
      </c>
      <c r="B259" s="23"/>
      <c r="C259" s="28">
        <f>ROUND(1.1747,4)</f>
        <v>1.1747</v>
      </c>
      <c r="D259" s="28">
        <f>F259</f>
        <v>1.1821</v>
      </c>
      <c r="E259" s="28">
        <f>F259</f>
        <v>1.1821</v>
      </c>
      <c r="F259" s="28">
        <f>ROUND(1.1821,4)</f>
        <v>1.1821</v>
      </c>
      <c r="G259" s="25"/>
      <c r="H259" s="26"/>
    </row>
    <row r="260" spans="1:8" ht="12.75" customHeight="1">
      <c r="A260" s="23">
        <v>43178</v>
      </c>
      <c r="B260" s="23"/>
      <c r="C260" s="28">
        <f>ROUND(1.1747,4)</f>
        <v>1.1747</v>
      </c>
      <c r="D260" s="28">
        <f>F260</f>
        <v>1.1884</v>
      </c>
      <c r="E260" s="28">
        <f>F260</f>
        <v>1.1884</v>
      </c>
      <c r="F260" s="28">
        <f>ROUND(1.1884,4)</f>
        <v>1.1884</v>
      </c>
      <c r="G260" s="25"/>
      <c r="H260" s="26"/>
    </row>
    <row r="261" spans="1:8" ht="12.75" customHeight="1">
      <c r="A261" s="23">
        <v>43269</v>
      </c>
      <c r="B261" s="23"/>
      <c r="C261" s="28">
        <f>ROUND(1.1747,4)</f>
        <v>1.1747</v>
      </c>
      <c r="D261" s="28">
        <f>F261</f>
        <v>1.1947</v>
      </c>
      <c r="E261" s="28">
        <f>F261</f>
        <v>1.1947</v>
      </c>
      <c r="F261" s="28">
        <f>ROUND(1.1947,4)</f>
        <v>1.1947</v>
      </c>
      <c r="G261" s="25"/>
      <c r="H261" s="26"/>
    </row>
    <row r="262" spans="1:8" ht="12.75" customHeight="1">
      <c r="A262" s="23" t="s">
        <v>63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42996</v>
      </c>
      <c r="B263" s="23"/>
      <c r="C263" s="28">
        <f>ROUND(1.2857375,4)</f>
        <v>1.2857</v>
      </c>
      <c r="D263" s="28">
        <f>F263</f>
        <v>1.2868</v>
      </c>
      <c r="E263" s="28">
        <f>F263</f>
        <v>1.2868</v>
      </c>
      <c r="F263" s="28">
        <f>ROUND(1.2868,4)</f>
        <v>1.2868</v>
      </c>
      <c r="G263" s="25"/>
      <c r="H263" s="26"/>
    </row>
    <row r="264" spans="1:8" ht="12.75" customHeight="1">
      <c r="A264" s="23">
        <v>43087</v>
      </c>
      <c r="B264" s="23"/>
      <c r="C264" s="28">
        <f>ROUND(1.2857375,4)</f>
        <v>1.2857</v>
      </c>
      <c r="D264" s="28">
        <f>F264</f>
        <v>1.2907</v>
      </c>
      <c r="E264" s="28">
        <f>F264</f>
        <v>1.2907</v>
      </c>
      <c r="F264" s="28">
        <f>ROUND(1.2907,4)</f>
        <v>1.2907</v>
      </c>
      <c r="G264" s="25"/>
      <c r="H264" s="26"/>
    </row>
    <row r="265" spans="1:8" ht="12.75" customHeight="1">
      <c r="A265" s="23">
        <v>43178</v>
      </c>
      <c r="B265" s="23"/>
      <c r="C265" s="28">
        <f>ROUND(1.2857375,4)</f>
        <v>1.2857</v>
      </c>
      <c r="D265" s="28">
        <f>F265</f>
        <v>1.2948</v>
      </c>
      <c r="E265" s="28">
        <f>F265</f>
        <v>1.2948</v>
      </c>
      <c r="F265" s="28">
        <f>ROUND(1.2948,4)</f>
        <v>1.2948</v>
      </c>
      <c r="G265" s="25"/>
      <c r="H265" s="26"/>
    </row>
    <row r="266" spans="1:8" ht="12.75" customHeight="1">
      <c r="A266" s="23">
        <v>43269</v>
      </c>
      <c r="B266" s="23"/>
      <c r="C266" s="28">
        <f>ROUND(1.2857375,4)</f>
        <v>1.2857</v>
      </c>
      <c r="D266" s="28">
        <f>F266</f>
        <v>1.2987</v>
      </c>
      <c r="E266" s="28">
        <f>F266</f>
        <v>1.2987</v>
      </c>
      <c r="F266" s="28">
        <f>ROUND(1.2987,4)</f>
        <v>1.2987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42996</v>
      </c>
      <c r="B268" s="23"/>
      <c r="C268" s="28">
        <f>ROUND(10.4520833541667,4)</f>
        <v>10.4521</v>
      </c>
      <c r="D268" s="28">
        <f>F268</f>
        <v>10.495</v>
      </c>
      <c r="E268" s="28">
        <f>F268</f>
        <v>10.495</v>
      </c>
      <c r="F268" s="28">
        <f>ROUND(10.495,4)</f>
        <v>10.495</v>
      </c>
      <c r="G268" s="25"/>
      <c r="H268" s="26"/>
    </row>
    <row r="269" spans="1:8" ht="12.75" customHeight="1">
      <c r="A269" s="23">
        <v>43087</v>
      </c>
      <c r="B269" s="23"/>
      <c r="C269" s="28">
        <f>ROUND(10.4520833541667,4)</f>
        <v>10.4521</v>
      </c>
      <c r="D269" s="28">
        <f>F269</f>
        <v>10.6319</v>
      </c>
      <c r="E269" s="28">
        <f>F269</f>
        <v>10.6319</v>
      </c>
      <c r="F269" s="28">
        <f>ROUND(10.6319,4)</f>
        <v>10.6319</v>
      </c>
      <c r="G269" s="25"/>
      <c r="H269" s="26"/>
    </row>
    <row r="270" spans="1:8" ht="12.75" customHeight="1">
      <c r="A270" s="23">
        <v>43178</v>
      </c>
      <c r="B270" s="23"/>
      <c r="C270" s="28">
        <f>ROUND(10.4520833541667,4)</f>
        <v>10.4521</v>
      </c>
      <c r="D270" s="28">
        <f>F270</f>
        <v>10.7668</v>
      </c>
      <c r="E270" s="28">
        <f>F270</f>
        <v>10.7668</v>
      </c>
      <c r="F270" s="28">
        <f>ROUND(10.7668,4)</f>
        <v>10.7668</v>
      </c>
      <c r="G270" s="25"/>
      <c r="H270" s="26"/>
    </row>
    <row r="271" spans="1:8" ht="12.75" customHeight="1">
      <c r="A271" s="23">
        <v>43269</v>
      </c>
      <c r="B271" s="23"/>
      <c r="C271" s="28">
        <f>ROUND(10.4520833541667,4)</f>
        <v>10.4521</v>
      </c>
      <c r="D271" s="28">
        <f>F271</f>
        <v>10.8975</v>
      </c>
      <c r="E271" s="28">
        <f>F271</f>
        <v>10.8975</v>
      </c>
      <c r="F271" s="28">
        <f>ROUND(10.8975,4)</f>
        <v>10.8975</v>
      </c>
      <c r="G271" s="25"/>
      <c r="H271" s="26"/>
    </row>
    <row r="272" spans="1:8" ht="12.75" customHeight="1">
      <c r="A272" s="23">
        <v>43360</v>
      </c>
      <c r="B272" s="23"/>
      <c r="C272" s="28">
        <f>ROUND(10.4520833541667,4)</f>
        <v>10.4521</v>
      </c>
      <c r="D272" s="28">
        <f>F272</f>
        <v>11.0273</v>
      </c>
      <c r="E272" s="28">
        <f>F272</f>
        <v>11.0273</v>
      </c>
      <c r="F272" s="28">
        <f>ROUND(11.0273,4)</f>
        <v>11.0273</v>
      </c>
      <c r="G272" s="25"/>
      <c r="H272" s="26"/>
    </row>
    <row r="273" spans="1:8" ht="12.75" customHeight="1">
      <c r="A273" s="23">
        <v>43448</v>
      </c>
      <c r="B273" s="23"/>
      <c r="C273" s="28">
        <f>ROUND(10.4520833541667,4)</f>
        <v>10.4521</v>
      </c>
      <c r="D273" s="28">
        <f>F273</f>
        <v>11.1586</v>
      </c>
      <c r="E273" s="28">
        <f>F273</f>
        <v>11.1586</v>
      </c>
      <c r="F273" s="28">
        <f>ROUND(11.1586,4)</f>
        <v>11.1586</v>
      </c>
      <c r="G273" s="25"/>
      <c r="H273" s="26"/>
    </row>
    <row r="274" spans="1:8" ht="12.75" customHeight="1">
      <c r="A274" s="23">
        <v>43542</v>
      </c>
      <c r="B274" s="23"/>
      <c r="C274" s="28">
        <f>ROUND(10.4520833541667,4)</f>
        <v>10.4521</v>
      </c>
      <c r="D274" s="28">
        <f>F274</f>
        <v>11.2968</v>
      </c>
      <c r="E274" s="28">
        <f>F274</f>
        <v>11.2968</v>
      </c>
      <c r="F274" s="28">
        <f>ROUND(11.2968,4)</f>
        <v>11.2968</v>
      </c>
      <c r="G274" s="25"/>
      <c r="H274" s="26"/>
    </row>
    <row r="275" spans="1:8" ht="12.75" customHeight="1">
      <c r="A275" s="23">
        <v>43630</v>
      </c>
      <c r="B275" s="23"/>
      <c r="C275" s="28">
        <f>ROUND(10.4520833541667,4)</f>
        <v>10.4521</v>
      </c>
      <c r="D275" s="28">
        <f>F275</f>
        <v>11.4245</v>
      </c>
      <c r="E275" s="28">
        <f>F275</f>
        <v>11.4245</v>
      </c>
      <c r="F275" s="28">
        <f>ROUND(11.4245,4)</f>
        <v>11.4245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ROUND(3.59628822942191,4)</f>
        <v>3.5963</v>
      </c>
      <c r="D277" s="28">
        <f>F277</f>
        <v>3.9159</v>
      </c>
      <c r="E277" s="28">
        <f>F277</f>
        <v>3.9159</v>
      </c>
      <c r="F277" s="28">
        <f>ROUND(3.9159,4)</f>
        <v>3.9159</v>
      </c>
      <c r="G277" s="25"/>
      <c r="H277" s="26"/>
    </row>
    <row r="278" spans="1:8" ht="12.75" customHeight="1">
      <c r="A278" s="23">
        <v>43087</v>
      </c>
      <c r="B278" s="23"/>
      <c r="C278" s="28">
        <f>ROUND(3.59628822942191,4)</f>
        <v>3.5963</v>
      </c>
      <c r="D278" s="28">
        <f>F278</f>
        <v>3.9656</v>
      </c>
      <c r="E278" s="28">
        <f>F278</f>
        <v>3.9656</v>
      </c>
      <c r="F278" s="28">
        <f>ROUND(3.9656,4)</f>
        <v>3.9656</v>
      </c>
      <c r="G278" s="25"/>
      <c r="H278" s="26"/>
    </row>
    <row r="279" spans="1:8" ht="12.75" customHeight="1">
      <c r="A279" s="23">
        <v>43178</v>
      </c>
      <c r="B279" s="23"/>
      <c r="C279" s="28">
        <f>ROUND(3.59628822942191,4)</f>
        <v>3.5963</v>
      </c>
      <c r="D279" s="28">
        <f>F279</f>
        <v>4.0215</v>
      </c>
      <c r="E279" s="28">
        <f>F279</f>
        <v>4.0215</v>
      </c>
      <c r="F279" s="28">
        <f>ROUND(4.0215,4)</f>
        <v>4.0215</v>
      </c>
      <c r="G279" s="25"/>
      <c r="H279" s="26"/>
    </row>
    <row r="280" spans="1:8" ht="12.75" customHeight="1">
      <c r="A280" s="23" t="s">
        <v>66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42996</v>
      </c>
      <c r="B281" s="23"/>
      <c r="C281" s="28">
        <f>ROUND(1.29317741666667,4)</f>
        <v>1.2932</v>
      </c>
      <c r="D281" s="28">
        <f>F281</f>
        <v>1.2975</v>
      </c>
      <c r="E281" s="28">
        <f>F281</f>
        <v>1.2975</v>
      </c>
      <c r="F281" s="28">
        <f>ROUND(1.2975,4)</f>
        <v>1.2975</v>
      </c>
      <c r="G281" s="25"/>
      <c r="H281" s="26"/>
    </row>
    <row r="282" spans="1:8" ht="12.75" customHeight="1">
      <c r="A282" s="23">
        <v>43087</v>
      </c>
      <c r="B282" s="23"/>
      <c r="C282" s="28">
        <f>ROUND(1.29317741666667,4)</f>
        <v>1.2932</v>
      </c>
      <c r="D282" s="28">
        <f>F282</f>
        <v>1.311</v>
      </c>
      <c r="E282" s="28">
        <f>F282</f>
        <v>1.311</v>
      </c>
      <c r="F282" s="28">
        <f>ROUND(1.311,4)</f>
        <v>1.311</v>
      </c>
      <c r="G282" s="25"/>
      <c r="H282" s="26"/>
    </row>
    <row r="283" spans="1:8" ht="12.75" customHeight="1">
      <c r="A283" s="23">
        <v>43178</v>
      </c>
      <c r="B283" s="23"/>
      <c r="C283" s="28">
        <f>ROUND(1.29317741666667,4)</f>
        <v>1.2932</v>
      </c>
      <c r="D283" s="28">
        <f>F283</f>
        <v>1.3241</v>
      </c>
      <c r="E283" s="28">
        <f>F283</f>
        <v>1.3241</v>
      </c>
      <c r="F283" s="28">
        <f>ROUND(1.3241,4)</f>
        <v>1.3241</v>
      </c>
      <c r="G283" s="25"/>
      <c r="H283" s="26"/>
    </row>
    <row r="284" spans="1:8" ht="12.75" customHeight="1">
      <c r="A284" s="23">
        <v>43269</v>
      </c>
      <c r="B284" s="23"/>
      <c r="C284" s="28">
        <f>ROUND(1.29317741666667,4)</f>
        <v>1.2932</v>
      </c>
      <c r="D284" s="28">
        <f>F284</f>
        <v>1.3372</v>
      </c>
      <c r="E284" s="28">
        <f>F284</f>
        <v>1.3372</v>
      </c>
      <c r="F284" s="28">
        <f>ROUND(1.3372,4)</f>
        <v>1.3372</v>
      </c>
      <c r="G284" s="25"/>
      <c r="H284" s="26"/>
    </row>
    <row r="285" spans="1:8" ht="12.75" customHeight="1">
      <c r="A285" s="23">
        <v>43630</v>
      </c>
      <c r="B285" s="23"/>
      <c r="C285" s="28">
        <f>ROUND(1.29317741666667,4)</f>
        <v>1.2932</v>
      </c>
      <c r="D285" s="28">
        <f>F285</f>
        <v>1.3483</v>
      </c>
      <c r="E285" s="28">
        <f>F285</f>
        <v>1.3483</v>
      </c>
      <c r="F285" s="28">
        <f>ROUND(1.3483,4)</f>
        <v>1.3483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ROUND(10.4838816355146,4)</f>
        <v>10.4839</v>
      </c>
      <c r="D287" s="28">
        <f>F287</f>
        <v>10.5339</v>
      </c>
      <c r="E287" s="28">
        <f>F287</f>
        <v>10.5339</v>
      </c>
      <c r="F287" s="28">
        <f>ROUND(10.5339,4)</f>
        <v>10.5339</v>
      </c>
      <c r="G287" s="25"/>
      <c r="H287" s="26"/>
    </row>
    <row r="288" spans="1:8" ht="12.75" customHeight="1">
      <c r="A288" s="23">
        <v>43087</v>
      </c>
      <c r="B288" s="23"/>
      <c r="C288" s="28">
        <f>ROUND(10.4838816355146,4)</f>
        <v>10.4839</v>
      </c>
      <c r="D288" s="28">
        <f>F288</f>
        <v>10.6936</v>
      </c>
      <c r="E288" s="28">
        <f>F288</f>
        <v>10.6936</v>
      </c>
      <c r="F288" s="28">
        <f>ROUND(10.6936,4)</f>
        <v>10.6936</v>
      </c>
      <c r="G288" s="25"/>
      <c r="H288" s="26"/>
    </row>
    <row r="289" spans="1:8" ht="12.75" customHeight="1">
      <c r="A289" s="23">
        <v>43178</v>
      </c>
      <c r="B289" s="23"/>
      <c r="C289" s="28">
        <f>ROUND(10.4838816355146,4)</f>
        <v>10.4839</v>
      </c>
      <c r="D289" s="28">
        <f>F289</f>
        <v>10.849</v>
      </c>
      <c r="E289" s="28">
        <f>F289</f>
        <v>10.849</v>
      </c>
      <c r="F289" s="28">
        <f>ROUND(10.849,4)</f>
        <v>10.849</v>
      </c>
      <c r="G289" s="25"/>
      <c r="H289" s="26"/>
    </row>
    <row r="290" spans="1:8" ht="12.75" customHeight="1">
      <c r="A290" s="23">
        <v>43269</v>
      </c>
      <c r="B290" s="23"/>
      <c r="C290" s="28">
        <f>ROUND(10.4838816355146,4)</f>
        <v>10.4839</v>
      </c>
      <c r="D290" s="28">
        <f>F290</f>
        <v>10.8553</v>
      </c>
      <c r="E290" s="28">
        <f>F290</f>
        <v>10.8553</v>
      </c>
      <c r="F290" s="28">
        <v>10.8553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ROUND(1.98613803582255,4)</f>
        <v>1.9861</v>
      </c>
      <c r="D292" s="28">
        <f>F292</f>
        <v>1.9846</v>
      </c>
      <c r="E292" s="28">
        <f>F292</f>
        <v>1.9846</v>
      </c>
      <c r="F292" s="28">
        <f>ROUND(1.9846,4)</f>
        <v>1.9846</v>
      </c>
      <c r="G292" s="25"/>
      <c r="H292" s="26"/>
    </row>
    <row r="293" spans="1:8" ht="12.75" customHeight="1">
      <c r="A293" s="23">
        <v>43087</v>
      </c>
      <c r="B293" s="23"/>
      <c r="C293" s="28">
        <f>ROUND(1.98613803582255,4)</f>
        <v>1.9861</v>
      </c>
      <c r="D293" s="28">
        <f>F293</f>
        <v>2.0026</v>
      </c>
      <c r="E293" s="28">
        <f>F293</f>
        <v>2.0026</v>
      </c>
      <c r="F293" s="28">
        <f>ROUND(2.0026,4)</f>
        <v>2.0026</v>
      </c>
      <c r="G293" s="25"/>
      <c r="H293" s="26"/>
    </row>
    <row r="294" spans="1:8" ht="12.75" customHeight="1">
      <c r="A294" s="23">
        <v>43178</v>
      </c>
      <c r="B294" s="23"/>
      <c r="C294" s="28">
        <f>ROUND(1.98613803582255,4)</f>
        <v>1.9861</v>
      </c>
      <c r="D294" s="28">
        <f>F294</f>
        <v>2.0187</v>
      </c>
      <c r="E294" s="28">
        <f>F294</f>
        <v>2.0187</v>
      </c>
      <c r="F294" s="28">
        <f>ROUND(2.0187,4)</f>
        <v>2.0187</v>
      </c>
      <c r="G294" s="25"/>
      <c r="H294" s="26"/>
    </row>
    <row r="295" spans="1:8" ht="12.75" customHeight="1">
      <c r="A295" s="23">
        <v>43269</v>
      </c>
      <c r="B295" s="23"/>
      <c r="C295" s="28">
        <f>ROUND(1.98613803582255,4)</f>
        <v>1.9861</v>
      </c>
      <c r="D295" s="28">
        <f>F295</f>
        <v>2.0334</v>
      </c>
      <c r="E295" s="28">
        <f>F295</f>
        <v>2.0334</v>
      </c>
      <c r="F295" s="28">
        <f>ROUND(2.0334,4)</f>
        <v>2.0334</v>
      </c>
      <c r="G295" s="25"/>
      <c r="H295" s="26"/>
    </row>
    <row r="296" spans="1:8" ht="12.75" customHeight="1">
      <c r="A296" s="23">
        <v>43630</v>
      </c>
      <c r="B296" s="23"/>
      <c r="C296" s="28">
        <f>ROUND(1.98613803582255,4)</f>
        <v>1.9861</v>
      </c>
      <c r="D296" s="28">
        <f>F296</f>
        <v>2.0135</v>
      </c>
      <c r="E296" s="28">
        <f>F296</f>
        <v>2.0135</v>
      </c>
      <c r="F296" s="28">
        <f>ROUND(2.0135,4)</f>
        <v>2.0135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ROUND(2.08698697591624,4)</f>
        <v>2.087</v>
      </c>
      <c r="D298" s="28">
        <f>F298</f>
        <v>2.1022</v>
      </c>
      <c r="E298" s="28">
        <f>F298</f>
        <v>2.1022</v>
      </c>
      <c r="F298" s="28">
        <f>ROUND(2.1022,4)</f>
        <v>2.1022</v>
      </c>
      <c r="G298" s="25"/>
      <c r="H298" s="26"/>
    </row>
    <row r="299" spans="1:8" ht="12.75" customHeight="1">
      <c r="A299" s="23">
        <v>43087</v>
      </c>
      <c r="B299" s="23"/>
      <c r="C299" s="28">
        <f>ROUND(2.08698697591624,4)</f>
        <v>2.087</v>
      </c>
      <c r="D299" s="28">
        <f>F299</f>
        <v>2.1437</v>
      </c>
      <c r="E299" s="28">
        <f>F299</f>
        <v>2.1437</v>
      </c>
      <c r="F299" s="28">
        <f>ROUND(2.1437,4)</f>
        <v>2.1437</v>
      </c>
      <c r="G299" s="25"/>
      <c r="H299" s="26"/>
    </row>
    <row r="300" spans="1:8" ht="12.75" customHeight="1">
      <c r="A300" s="23">
        <v>43178</v>
      </c>
      <c r="B300" s="23"/>
      <c r="C300" s="28">
        <f>ROUND(2.08698697591624,4)</f>
        <v>2.087</v>
      </c>
      <c r="D300" s="28">
        <f>F300</f>
        <v>2.1852</v>
      </c>
      <c r="E300" s="28">
        <f>F300</f>
        <v>2.1852</v>
      </c>
      <c r="F300" s="28">
        <f>ROUND(2.1852,4)</f>
        <v>2.1852</v>
      </c>
      <c r="G300" s="25"/>
      <c r="H300" s="26"/>
    </row>
    <row r="301" spans="1:8" ht="12.75" customHeight="1">
      <c r="A301" s="23">
        <v>43269</v>
      </c>
      <c r="B301" s="23"/>
      <c r="C301" s="28">
        <f>ROUND(2.08698697591624,4)</f>
        <v>2.087</v>
      </c>
      <c r="D301" s="28">
        <f>F301</f>
        <v>2.2273</v>
      </c>
      <c r="E301" s="28">
        <f>F301</f>
        <v>2.2273</v>
      </c>
      <c r="F301" s="28">
        <f>ROUND(2.2273,4)</f>
        <v>2.2273</v>
      </c>
      <c r="G301" s="25"/>
      <c r="H301" s="26"/>
    </row>
    <row r="302" spans="1:8" ht="12.75" customHeight="1">
      <c r="A302" s="23">
        <v>43630</v>
      </c>
      <c r="B302" s="23"/>
      <c r="C302" s="28">
        <f>ROUND(2.08698697591624,4)</f>
        <v>2.087</v>
      </c>
      <c r="D302" s="28">
        <f>F302</f>
        <v>2.4102</v>
      </c>
      <c r="E302" s="28">
        <f>F302</f>
        <v>2.4102</v>
      </c>
      <c r="F302" s="28">
        <f>ROUND(2.4102,4)</f>
        <v>2.4102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42996</v>
      </c>
      <c r="B304" s="23"/>
      <c r="C304" s="28">
        <f>ROUND(15.5168080833333,4)</f>
        <v>15.5168</v>
      </c>
      <c r="D304" s="28">
        <f>F304</f>
        <v>15.6069</v>
      </c>
      <c r="E304" s="28">
        <f>F304</f>
        <v>15.6069</v>
      </c>
      <c r="F304" s="28">
        <f>ROUND(15.6069,4)</f>
        <v>15.6069</v>
      </c>
      <c r="G304" s="25"/>
      <c r="H304" s="26"/>
    </row>
    <row r="305" spans="1:8" ht="12.75" customHeight="1">
      <c r="A305" s="23">
        <v>43087</v>
      </c>
      <c r="B305" s="23"/>
      <c r="C305" s="28">
        <f>ROUND(15.5168080833333,4)</f>
        <v>15.5168</v>
      </c>
      <c r="D305" s="28">
        <f>F305</f>
        <v>15.9072</v>
      </c>
      <c r="E305" s="28">
        <f>F305</f>
        <v>15.9072</v>
      </c>
      <c r="F305" s="28">
        <f>ROUND(15.9072,4)</f>
        <v>15.9072</v>
      </c>
      <c r="G305" s="25"/>
      <c r="H305" s="26"/>
    </row>
    <row r="306" spans="1:8" ht="12.75" customHeight="1">
      <c r="A306" s="23">
        <v>43178</v>
      </c>
      <c r="B306" s="23"/>
      <c r="C306" s="28">
        <f>ROUND(15.5168080833333,4)</f>
        <v>15.5168</v>
      </c>
      <c r="D306" s="28">
        <f>F306</f>
        <v>16.2126</v>
      </c>
      <c r="E306" s="28">
        <f>F306</f>
        <v>16.2126</v>
      </c>
      <c r="F306" s="28">
        <f>ROUND(16.2126,4)</f>
        <v>16.2126</v>
      </c>
      <c r="G306" s="25"/>
      <c r="H306" s="26"/>
    </row>
    <row r="307" spans="1:8" ht="12.75" customHeight="1">
      <c r="A307" s="23">
        <v>43269</v>
      </c>
      <c r="B307" s="23"/>
      <c r="C307" s="28">
        <f>ROUND(15.5168080833333,4)</f>
        <v>15.5168</v>
      </c>
      <c r="D307" s="28">
        <f>F307</f>
        <v>16.5149</v>
      </c>
      <c r="E307" s="28">
        <f>F307</f>
        <v>16.5149</v>
      </c>
      <c r="F307" s="28">
        <f>ROUND(16.5149,4)</f>
        <v>16.5149</v>
      </c>
      <c r="G307" s="25"/>
      <c r="H307" s="26"/>
    </row>
    <row r="308" spans="1:8" ht="12.75" customHeight="1">
      <c r="A308" s="23">
        <v>43360</v>
      </c>
      <c r="B308" s="23"/>
      <c r="C308" s="28">
        <f>ROUND(15.5168080833333,4)</f>
        <v>15.5168</v>
      </c>
      <c r="D308" s="28">
        <f>F308</f>
        <v>16.8099</v>
      </c>
      <c r="E308" s="28">
        <f>F308</f>
        <v>16.8099</v>
      </c>
      <c r="F308" s="28">
        <f>ROUND(16.8099,4)</f>
        <v>16.8099</v>
      </c>
      <c r="G308" s="25"/>
      <c r="H308" s="26"/>
    </row>
    <row r="309" spans="1:8" ht="12.75" customHeight="1">
      <c r="A309" s="23">
        <v>43448</v>
      </c>
      <c r="B309" s="23"/>
      <c r="C309" s="28">
        <f>ROUND(15.5168080833333,4)</f>
        <v>15.5168</v>
      </c>
      <c r="D309" s="28">
        <f>F309</f>
        <v>17.0958</v>
      </c>
      <c r="E309" s="28">
        <f>F309</f>
        <v>17.0958</v>
      </c>
      <c r="F309" s="28">
        <f>ROUND(17.0958,4)</f>
        <v>17.0958</v>
      </c>
      <c r="G309" s="25"/>
      <c r="H309" s="26"/>
    </row>
    <row r="310" spans="1:8" ht="12.75" customHeight="1">
      <c r="A310" s="23">
        <v>43542</v>
      </c>
      <c r="B310" s="23"/>
      <c r="C310" s="28">
        <f>ROUND(15.5168080833333,4)</f>
        <v>15.5168</v>
      </c>
      <c r="D310" s="28">
        <f>F310</f>
        <v>17.4761</v>
      </c>
      <c r="E310" s="28">
        <f>F310</f>
        <v>17.4761</v>
      </c>
      <c r="F310" s="28">
        <f>ROUND(17.4761,4)</f>
        <v>17.4761</v>
      </c>
      <c r="G310" s="25"/>
      <c r="H310" s="26"/>
    </row>
    <row r="311" spans="1:8" ht="12.75" customHeight="1">
      <c r="A311" s="23">
        <v>43630</v>
      </c>
      <c r="B311" s="23"/>
      <c r="C311" s="28">
        <f>ROUND(15.5168080833333,4)</f>
        <v>15.5168</v>
      </c>
      <c r="D311" s="28">
        <f>F311</f>
        <v>17.8357</v>
      </c>
      <c r="E311" s="28">
        <f>F311</f>
        <v>17.8357</v>
      </c>
      <c r="F311" s="28">
        <f>ROUND(17.8357,4)</f>
        <v>17.8357</v>
      </c>
      <c r="G311" s="25"/>
      <c r="H311" s="26"/>
    </row>
    <row r="312" spans="1:8" ht="12.75" customHeight="1">
      <c r="A312" s="23" t="s">
        <v>71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42996</v>
      </c>
      <c r="B313" s="23"/>
      <c r="C313" s="28">
        <f>ROUND(13.733797740348,4)</f>
        <v>13.7338</v>
      </c>
      <c r="D313" s="28">
        <f>F313</f>
        <v>13.8176</v>
      </c>
      <c r="E313" s="28">
        <f>F313</f>
        <v>13.8176</v>
      </c>
      <c r="F313" s="28">
        <f>ROUND(13.8176,4)</f>
        <v>13.8176</v>
      </c>
      <c r="G313" s="25"/>
      <c r="H313" s="26"/>
    </row>
    <row r="314" spans="1:8" ht="12.75" customHeight="1">
      <c r="A314" s="23">
        <v>43087</v>
      </c>
      <c r="B314" s="23"/>
      <c r="C314" s="28">
        <f>ROUND(13.733797740348,4)</f>
        <v>13.7338</v>
      </c>
      <c r="D314" s="28">
        <f>F314</f>
        <v>14.0981</v>
      </c>
      <c r="E314" s="28">
        <f>F314</f>
        <v>14.0981</v>
      </c>
      <c r="F314" s="28">
        <f>ROUND(14.0981,4)</f>
        <v>14.0981</v>
      </c>
      <c r="G314" s="25"/>
      <c r="H314" s="26"/>
    </row>
    <row r="315" spans="1:8" ht="12.75" customHeight="1">
      <c r="A315" s="23">
        <v>43178</v>
      </c>
      <c r="B315" s="23"/>
      <c r="C315" s="28">
        <f>ROUND(13.733797740348,4)</f>
        <v>13.7338</v>
      </c>
      <c r="D315" s="28">
        <f>F315</f>
        <v>14.3847</v>
      </c>
      <c r="E315" s="28">
        <f>F315</f>
        <v>14.3847</v>
      </c>
      <c r="F315" s="28">
        <f>ROUND(14.3847,4)</f>
        <v>14.3847</v>
      </c>
      <c r="G315" s="25"/>
      <c r="H315" s="26"/>
    </row>
    <row r="316" spans="1:8" ht="12.75" customHeight="1">
      <c r="A316" s="23">
        <v>43269</v>
      </c>
      <c r="B316" s="23"/>
      <c r="C316" s="28">
        <f>ROUND(13.733797740348,4)</f>
        <v>13.7338</v>
      </c>
      <c r="D316" s="28">
        <f>F316</f>
        <v>14.6671</v>
      </c>
      <c r="E316" s="28">
        <f>F316</f>
        <v>14.6671</v>
      </c>
      <c r="F316" s="28">
        <f>ROUND(14.6671,4)</f>
        <v>14.6671</v>
      </c>
      <c r="G316" s="25"/>
      <c r="H316" s="26"/>
    </row>
    <row r="317" spans="1:8" ht="12.75" customHeight="1">
      <c r="A317" s="23">
        <v>43360</v>
      </c>
      <c r="B317" s="23"/>
      <c r="C317" s="28">
        <f>ROUND(13.733797740348,4)</f>
        <v>13.7338</v>
      </c>
      <c r="D317" s="28">
        <f>F317</f>
        <v>14.9399</v>
      </c>
      <c r="E317" s="28">
        <f>F317</f>
        <v>14.9399</v>
      </c>
      <c r="F317" s="28">
        <f>ROUND(14.9399,4)</f>
        <v>14.9399</v>
      </c>
      <c r="G317" s="25"/>
      <c r="H317" s="26"/>
    </row>
    <row r="318" spans="1:8" ht="12.75" customHeight="1">
      <c r="A318" s="23">
        <v>43630</v>
      </c>
      <c r="B318" s="23"/>
      <c r="C318" s="28">
        <f>ROUND(13.733797740348,4)</f>
        <v>13.7338</v>
      </c>
      <c r="D318" s="28">
        <f>F318</f>
        <v>15.68</v>
      </c>
      <c r="E318" s="28">
        <f>F318</f>
        <v>15.68</v>
      </c>
      <c r="F318" s="28">
        <f>ROUND(15.68,4)</f>
        <v>15.68</v>
      </c>
      <c r="G318" s="25"/>
      <c r="H318" s="26"/>
    </row>
    <row r="319" spans="1:8" ht="12.75" customHeight="1">
      <c r="A319" s="23" t="s">
        <v>72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42996</v>
      </c>
      <c r="B320" s="23"/>
      <c r="C320" s="28">
        <f>ROUND(16.9835209270833,4)</f>
        <v>16.9835</v>
      </c>
      <c r="D320" s="28">
        <f>F320</f>
        <v>17.0732</v>
      </c>
      <c r="E320" s="28">
        <f>F320</f>
        <v>17.0732</v>
      </c>
      <c r="F320" s="28">
        <f>ROUND(17.0732,4)</f>
        <v>17.0732</v>
      </c>
      <c r="G320" s="25"/>
      <c r="H320" s="26"/>
    </row>
    <row r="321" spans="1:8" ht="12.75" customHeight="1">
      <c r="A321" s="23">
        <v>43087</v>
      </c>
      <c r="B321" s="23"/>
      <c r="C321" s="28">
        <f>ROUND(16.9835209270833,4)</f>
        <v>16.9835</v>
      </c>
      <c r="D321" s="28">
        <f>F321</f>
        <v>17.3684</v>
      </c>
      <c r="E321" s="28">
        <f>F321</f>
        <v>17.3684</v>
      </c>
      <c r="F321" s="28">
        <f>ROUND(17.3684,4)</f>
        <v>17.3684</v>
      </c>
      <c r="G321" s="25"/>
      <c r="H321" s="26"/>
    </row>
    <row r="322" spans="1:8" ht="12.75" customHeight="1">
      <c r="A322" s="23">
        <v>43178</v>
      </c>
      <c r="B322" s="23"/>
      <c r="C322" s="28">
        <f>ROUND(16.9835209270833,4)</f>
        <v>16.9835</v>
      </c>
      <c r="D322" s="28">
        <f>F322</f>
        <v>17.6644</v>
      </c>
      <c r="E322" s="28">
        <f>F322</f>
        <v>17.6644</v>
      </c>
      <c r="F322" s="28">
        <f>ROUND(17.6644,4)</f>
        <v>17.6644</v>
      </c>
      <c r="G322" s="25"/>
      <c r="H322" s="26"/>
    </row>
    <row r="323" spans="1:8" ht="12.75" customHeight="1">
      <c r="A323" s="23">
        <v>43269</v>
      </c>
      <c r="B323" s="23"/>
      <c r="C323" s="28">
        <f>ROUND(16.9835209270833,4)</f>
        <v>16.9835</v>
      </c>
      <c r="D323" s="28">
        <f>F323</f>
        <v>17.9535</v>
      </c>
      <c r="E323" s="28">
        <f>F323</f>
        <v>17.9535</v>
      </c>
      <c r="F323" s="28">
        <f>ROUND(17.9535,4)</f>
        <v>17.9535</v>
      </c>
      <c r="G323" s="25"/>
      <c r="H323" s="26"/>
    </row>
    <row r="324" spans="1:8" ht="12.75" customHeight="1">
      <c r="A324" s="23">
        <v>43360</v>
      </c>
      <c r="B324" s="23"/>
      <c r="C324" s="28">
        <f>ROUND(16.9835209270833,4)</f>
        <v>16.9835</v>
      </c>
      <c r="D324" s="28">
        <f>F324</f>
        <v>18.245</v>
      </c>
      <c r="E324" s="28">
        <f>F324</f>
        <v>18.245</v>
      </c>
      <c r="F324" s="28">
        <f>ROUND(18.245,4)</f>
        <v>18.245</v>
      </c>
      <c r="G324" s="25"/>
      <c r="H324" s="26"/>
    </row>
    <row r="325" spans="1:8" ht="12.75" customHeight="1">
      <c r="A325" s="23">
        <v>43448</v>
      </c>
      <c r="B325" s="23"/>
      <c r="C325" s="28">
        <f>ROUND(16.9835209270833,4)</f>
        <v>16.9835</v>
      </c>
      <c r="D325" s="28">
        <f>F325</f>
        <v>18.5362</v>
      </c>
      <c r="E325" s="28">
        <f>F325</f>
        <v>18.5362</v>
      </c>
      <c r="F325" s="28">
        <f>ROUND(18.5362,4)</f>
        <v>18.5362</v>
      </c>
      <c r="G325" s="25"/>
      <c r="H325" s="26"/>
    </row>
    <row r="326" spans="1:8" ht="12.75" customHeight="1">
      <c r="A326" s="23">
        <v>43542</v>
      </c>
      <c r="B326" s="23"/>
      <c r="C326" s="28">
        <f>ROUND(16.9835209270833,4)</f>
        <v>16.9835</v>
      </c>
      <c r="D326" s="28">
        <f>F326</f>
        <v>18.5944</v>
      </c>
      <c r="E326" s="28">
        <f>F326</f>
        <v>18.5944</v>
      </c>
      <c r="F326" s="28">
        <f>ROUND(18.5944,4)</f>
        <v>18.5944</v>
      </c>
      <c r="G326" s="25"/>
      <c r="H326" s="26"/>
    </row>
    <row r="327" spans="1:8" ht="12.75" customHeight="1">
      <c r="A327" s="23">
        <v>43630</v>
      </c>
      <c r="B327" s="23"/>
      <c r="C327" s="28">
        <f>ROUND(16.9835209270833,4)</f>
        <v>16.9835</v>
      </c>
      <c r="D327" s="28">
        <f>F327</f>
        <v>19.1477</v>
      </c>
      <c r="E327" s="28">
        <f>F327</f>
        <v>19.1477</v>
      </c>
      <c r="F327" s="28">
        <f>ROUND(19.1477,4)</f>
        <v>19.1477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42996</v>
      </c>
      <c r="B329" s="23"/>
      <c r="C329" s="28">
        <f>ROUND(1.68862270345821,4)</f>
        <v>1.6886</v>
      </c>
      <c r="D329" s="28">
        <f>F329</f>
        <v>1.6975</v>
      </c>
      <c r="E329" s="28">
        <f>F329</f>
        <v>1.6975</v>
      </c>
      <c r="F329" s="28">
        <f>ROUND(1.6975,4)</f>
        <v>1.6975</v>
      </c>
      <c r="G329" s="25"/>
      <c r="H329" s="26"/>
    </row>
    <row r="330" spans="1:8" ht="12.75" customHeight="1">
      <c r="A330" s="23">
        <v>43087</v>
      </c>
      <c r="B330" s="23"/>
      <c r="C330" s="28">
        <f>ROUND(1.68862270345821,4)</f>
        <v>1.6886</v>
      </c>
      <c r="D330" s="28">
        <f>F330</f>
        <v>1.7255</v>
      </c>
      <c r="E330" s="28">
        <f>F330</f>
        <v>1.7255</v>
      </c>
      <c r="F330" s="28">
        <f>ROUND(1.7255,4)</f>
        <v>1.7255</v>
      </c>
      <c r="G330" s="25"/>
      <c r="H330" s="26"/>
    </row>
    <row r="331" spans="1:8" ht="12.75" customHeight="1">
      <c r="A331" s="23">
        <v>43178</v>
      </c>
      <c r="B331" s="23"/>
      <c r="C331" s="28">
        <f>ROUND(1.68862270345821,4)</f>
        <v>1.6886</v>
      </c>
      <c r="D331" s="28">
        <f>F331</f>
        <v>1.7523</v>
      </c>
      <c r="E331" s="28">
        <f>F331</f>
        <v>1.7523</v>
      </c>
      <c r="F331" s="28">
        <f>ROUND(1.7523,4)</f>
        <v>1.7523</v>
      </c>
      <c r="G331" s="25"/>
      <c r="H331" s="26"/>
    </row>
    <row r="332" spans="1:8" ht="12.75" customHeight="1">
      <c r="A332" s="23">
        <v>43269</v>
      </c>
      <c r="B332" s="23"/>
      <c r="C332" s="28">
        <f>ROUND(1.68862270345821,4)</f>
        <v>1.6886</v>
      </c>
      <c r="D332" s="28">
        <f>F332</f>
        <v>1.7771</v>
      </c>
      <c r="E332" s="28">
        <f>F332</f>
        <v>1.7771</v>
      </c>
      <c r="F332" s="28">
        <v>1.7771</v>
      </c>
      <c r="G332" s="25"/>
      <c r="H332" s="26"/>
    </row>
    <row r="333" spans="1:8" ht="12.75" customHeight="1">
      <c r="A333" s="23">
        <v>43630</v>
      </c>
      <c r="B333" s="23"/>
      <c r="C333" s="28">
        <f>ROUND(1.68862270345821,4)</f>
        <v>1.6886</v>
      </c>
      <c r="D333" s="28">
        <f>F333</f>
        <v>1.8767</v>
      </c>
      <c r="E333" s="28">
        <f>F333</f>
        <v>1.8767</v>
      </c>
      <c r="F333" s="28">
        <f>ROUND(1.8767,4)</f>
        <v>1.8767</v>
      </c>
      <c r="G333" s="25"/>
      <c r="H333" s="26"/>
    </row>
    <row r="334" spans="1:8" ht="12.75" customHeight="1">
      <c r="A334" s="23" t="s">
        <v>74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42996</v>
      </c>
      <c r="B335" s="23"/>
      <c r="C335" s="30">
        <f>ROUND(0.121407781862745,6)</f>
        <v>0.121408</v>
      </c>
      <c r="D335" s="30">
        <f>F335</f>
        <v>0.12208</v>
      </c>
      <c r="E335" s="30">
        <f>F335</f>
        <v>0.12208</v>
      </c>
      <c r="F335" s="30">
        <f>ROUND(0.12208,6)</f>
        <v>0.12208</v>
      </c>
      <c r="G335" s="25"/>
      <c r="H335" s="26"/>
    </row>
    <row r="336" spans="1:8" ht="12.75" customHeight="1">
      <c r="A336" s="23">
        <v>43087</v>
      </c>
      <c r="B336" s="23"/>
      <c r="C336" s="30">
        <f>ROUND(0.121407781862745,6)</f>
        <v>0.121408</v>
      </c>
      <c r="D336" s="30">
        <f>F336</f>
        <v>0.124383</v>
      </c>
      <c r="E336" s="30">
        <f>F336</f>
        <v>0.124383</v>
      </c>
      <c r="F336" s="30">
        <f>ROUND(0.124383,6)</f>
        <v>0.124383</v>
      </c>
      <c r="G336" s="25"/>
      <c r="H336" s="26"/>
    </row>
    <row r="337" spans="1:8" ht="12.75" customHeight="1">
      <c r="A337" s="23">
        <v>43178</v>
      </c>
      <c r="B337" s="23"/>
      <c r="C337" s="30">
        <f>ROUND(0.121407781862745,6)</f>
        <v>0.121408</v>
      </c>
      <c r="D337" s="30">
        <f>F337</f>
        <v>0.126773</v>
      </c>
      <c r="E337" s="30">
        <f>F337</f>
        <v>0.126773</v>
      </c>
      <c r="F337" s="30">
        <f>ROUND(0.126773,6)</f>
        <v>0.126773</v>
      </c>
      <c r="G337" s="25"/>
      <c r="H337" s="26"/>
    </row>
    <row r="338" spans="1:8" ht="12.75" customHeight="1">
      <c r="A338" s="23">
        <v>43269</v>
      </c>
      <c r="B338" s="23"/>
      <c r="C338" s="30">
        <f>ROUND(0.121407781862745,6)</f>
        <v>0.121408</v>
      </c>
      <c r="D338" s="30">
        <f>F338</f>
        <v>0.129115</v>
      </c>
      <c r="E338" s="30">
        <f>F338</f>
        <v>0.129115</v>
      </c>
      <c r="F338" s="30">
        <f>ROUND(0.129115,6)</f>
        <v>0.129115</v>
      </c>
      <c r="G338" s="25"/>
      <c r="H338" s="26"/>
    </row>
    <row r="339" spans="1:8" ht="12.75" customHeight="1">
      <c r="A339" s="23">
        <v>43360</v>
      </c>
      <c r="B339" s="23"/>
      <c r="C339" s="30">
        <f>ROUND(0.121407781862745,6)</f>
        <v>0.121408</v>
      </c>
      <c r="D339" s="30">
        <f>F339</f>
        <v>0.131501</v>
      </c>
      <c r="E339" s="30">
        <f>F339</f>
        <v>0.131501</v>
      </c>
      <c r="F339" s="30">
        <f>ROUND(0.131501,6)</f>
        <v>0.131501</v>
      </c>
      <c r="G339" s="25"/>
      <c r="H339" s="26"/>
    </row>
    <row r="340" spans="1:8" ht="12.75" customHeight="1">
      <c r="A340" s="23">
        <v>43630</v>
      </c>
      <c r="B340" s="23"/>
      <c r="C340" s="30">
        <f>ROUND(0.121407781862745,6)</f>
        <v>0.121408</v>
      </c>
      <c r="D340" s="30">
        <f>F340</f>
        <v>0.138133</v>
      </c>
      <c r="E340" s="30">
        <f>F340</f>
        <v>0.138133</v>
      </c>
      <c r="F340" s="30">
        <f>ROUND(0.138133,6)</f>
        <v>0.138133</v>
      </c>
      <c r="G340" s="25"/>
      <c r="H340" s="26"/>
    </row>
    <row r="341" spans="1:8" ht="12.75" customHeight="1">
      <c r="A341" s="23" t="s">
        <v>75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ROUND(0.127889226678027,4)</f>
        <v>0.1279</v>
      </c>
      <c r="D342" s="28">
        <f>F342</f>
        <v>0.1278</v>
      </c>
      <c r="E342" s="28">
        <f>F342</f>
        <v>0.1278</v>
      </c>
      <c r="F342" s="28">
        <f>ROUND(0.1278,4)</f>
        <v>0.1278</v>
      </c>
      <c r="G342" s="25"/>
      <c r="H342" s="26"/>
    </row>
    <row r="343" spans="1:8" ht="12.75" customHeight="1">
      <c r="A343" s="23">
        <v>43087</v>
      </c>
      <c r="B343" s="23"/>
      <c r="C343" s="28">
        <f>ROUND(0.127889226678027,4)</f>
        <v>0.1279</v>
      </c>
      <c r="D343" s="28">
        <f>F343</f>
        <v>0.1272</v>
      </c>
      <c r="E343" s="28">
        <f>F343</f>
        <v>0.1272</v>
      </c>
      <c r="F343" s="28">
        <f>ROUND(0.1272,4)</f>
        <v>0.1272</v>
      </c>
      <c r="G343" s="25"/>
      <c r="H343" s="26"/>
    </row>
    <row r="344" spans="1:8" ht="12.75" customHeight="1">
      <c r="A344" s="23">
        <v>43178</v>
      </c>
      <c r="B344" s="23"/>
      <c r="C344" s="28">
        <f>ROUND(0.127889226678027,4)</f>
        <v>0.1279</v>
      </c>
      <c r="D344" s="28">
        <f>F344</f>
        <v>0.1261</v>
      </c>
      <c r="E344" s="28">
        <f>F344</f>
        <v>0.1261</v>
      </c>
      <c r="F344" s="28">
        <f>ROUND(0.1261,4)</f>
        <v>0.1261</v>
      </c>
      <c r="G344" s="25"/>
      <c r="H344" s="26"/>
    </row>
    <row r="345" spans="1:8" ht="12.75" customHeight="1">
      <c r="A345" s="23">
        <v>43269</v>
      </c>
      <c r="B345" s="23"/>
      <c r="C345" s="28">
        <f>ROUND(0.127889226678027,4)</f>
        <v>0.1279</v>
      </c>
      <c r="D345" s="28">
        <f>F345</f>
        <v>0.1255</v>
      </c>
      <c r="E345" s="28">
        <f>F345</f>
        <v>0.1255</v>
      </c>
      <c r="F345" s="28">
        <f>ROUND(0.1255,4)</f>
        <v>0.1255</v>
      </c>
      <c r="G345" s="25"/>
      <c r="H345" s="26"/>
    </row>
    <row r="346" spans="1:8" ht="12.75" customHeight="1">
      <c r="A346" s="23">
        <v>43360</v>
      </c>
      <c r="B346" s="23"/>
      <c r="C346" s="28">
        <f>ROUND(0.127889226678027,4)</f>
        <v>0.1279</v>
      </c>
      <c r="D346" s="28">
        <f>F346</f>
        <v>0.1261</v>
      </c>
      <c r="E346" s="28">
        <f>F346</f>
        <v>0.1261</v>
      </c>
      <c r="F346" s="28">
        <f>ROUND(0.1261,4)</f>
        <v>0.1261</v>
      </c>
      <c r="G346" s="25"/>
      <c r="H346" s="26"/>
    </row>
    <row r="347" spans="1:8" ht="12.75" customHeight="1">
      <c r="A347" s="23">
        <v>43630</v>
      </c>
      <c r="B347" s="23"/>
      <c r="C347" s="28">
        <f>ROUND(0.127889226678027,4)</f>
        <v>0.1279</v>
      </c>
      <c r="D347" s="28">
        <f>F347</f>
        <v>0.1245</v>
      </c>
      <c r="E347" s="28">
        <f>F347</f>
        <v>0.1245</v>
      </c>
      <c r="F347" s="28">
        <f>ROUND(0.1245,4)</f>
        <v>0.1245</v>
      </c>
      <c r="G347" s="25"/>
      <c r="H347" s="26"/>
    </row>
    <row r="348" spans="1:8" ht="12.75" customHeight="1">
      <c r="A348" s="23" t="s">
        <v>76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ROUND(1.66431472358369,4)</f>
        <v>1.6643</v>
      </c>
      <c r="D349" s="28">
        <f>F349</f>
        <v>1.6735</v>
      </c>
      <c r="E349" s="28">
        <f>F349</f>
        <v>1.6735</v>
      </c>
      <c r="F349" s="28">
        <f>ROUND(1.6735,4)</f>
        <v>1.6735</v>
      </c>
      <c r="G349" s="25"/>
      <c r="H349" s="26"/>
    </row>
    <row r="350" spans="1:8" ht="12.75" customHeight="1">
      <c r="A350" s="23">
        <v>43087</v>
      </c>
      <c r="B350" s="23"/>
      <c r="C350" s="28">
        <f>ROUND(1.66431472358369,4)</f>
        <v>1.6643</v>
      </c>
      <c r="D350" s="28">
        <f>F350</f>
        <v>1.7005</v>
      </c>
      <c r="E350" s="28">
        <f>F350</f>
        <v>1.7005</v>
      </c>
      <c r="F350" s="28">
        <f>ROUND(1.7005,4)</f>
        <v>1.7005</v>
      </c>
      <c r="G350" s="25"/>
      <c r="H350" s="26"/>
    </row>
    <row r="351" spans="1:8" ht="12.75" customHeight="1">
      <c r="A351" s="23">
        <v>43178</v>
      </c>
      <c r="B351" s="23"/>
      <c r="C351" s="28">
        <f>ROUND(1.66431472358369,4)</f>
        <v>1.6643</v>
      </c>
      <c r="D351" s="28">
        <f>F351</f>
        <v>1.7274</v>
      </c>
      <c r="E351" s="28">
        <f>F351</f>
        <v>1.7274</v>
      </c>
      <c r="F351" s="28">
        <f>ROUND(1.7274,4)</f>
        <v>1.7274</v>
      </c>
      <c r="G351" s="25"/>
      <c r="H351" s="26"/>
    </row>
    <row r="352" spans="1:8" ht="12.75" customHeight="1">
      <c r="A352" s="23">
        <v>43269</v>
      </c>
      <c r="B352" s="23"/>
      <c r="C352" s="28">
        <f>ROUND(1.66431472358369,4)</f>
        <v>1.6643</v>
      </c>
      <c r="D352" s="28">
        <f>F352</f>
        <v>1.7538</v>
      </c>
      <c r="E352" s="28">
        <f>F352</f>
        <v>1.7538</v>
      </c>
      <c r="F352" s="28">
        <f>ROUND(1.7538,4)</f>
        <v>1.7538</v>
      </c>
      <c r="G352" s="25"/>
      <c r="H352" s="26"/>
    </row>
    <row r="353" spans="1:8" ht="12.75" customHeight="1">
      <c r="A353" s="23">
        <v>43630</v>
      </c>
      <c r="B353" s="23"/>
      <c r="C353" s="28">
        <f>ROUND(1.66431472358369,4)</f>
        <v>1.6643</v>
      </c>
      <c r="D353" s="28">
        <f>F353</f>
        <v>1.8653</v>
      </c>
      <c r="E353" s="28">
        <f>F353</f>
        <v>1.8653</v>
      </c>
      <c r="F353" s="28">
        <f>ROUND(1.8653,4)</f>
        <v>1.8653</v>
      </c>
      <c r="G353" s="25"/>
      <c r="H353" s="26"/>
    </row>
    <row r="354" spans="1:8" ht="12.75" customHeight="1">
      <c r="A354" s="23" t="s">
        <v>77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42996</v>
      </c>
      <c r="B355" s="23"/>
      <c r="C355" s="28">
        <f>ROUND(0.0892261001517451,4)</f>
        <v>0.0892</v>
      </c>
      <c r="D355" s="28">
        <f>F355</f>
        <v>0.0383</v>
      </c>
      <c r="E355" s="28">
        <f>F355</f>
        <v>0.0383</v>
      </c>
      <c r="F355" s="28">
        <f>ROUND(0.0383,4)</f>
        <v>0.0383</v>
      </c>
      <c r="G355" s="25"/>
      <c r="H355" s="26"/>
    </row>
    <row r="356" spans="1:8" ht="12.75" customHeight="1">
      <c r="A356" s="23" t="s">
        <v>78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ROUND(9.67043091666667,4)</f>
        <v>9.6704</v>
      </c>
      <c r="D357" s="28">
        <f>F357</f>
        <v>9.7081</v>
      </c>
      <c r="E357" s="28">
        <f>F357</f>
        <v>9.7081</v>
      </c>
      <c r="F357" s="28">
        <f>ROUND(9.7081,4)</f>
        <v>9.7081</v>
      </c>
      <c r="G357" s="25"/>
      <c r="H357" s="26"/>
    </row>
    <row r="358" spans="1:8" ht="12.75" customHeight="1">
      <c r="A358" s="23">
        <v>43087</v>
      </c>
      <c r="B358" s="23"/>
      <c r="C358" s="28">
        <f>ROUND(9.67043091666667,4)</f>
        <v>9.6704</v>
      </c>
      <c r="D358" s="28">
        <f>F358</f>
        <v>9.8299</v>
      </c>
      <c r="E358" s="28">
        <f>F358</f>
        <v>9.8299</v>
      </c>
      <c r="F358" s="28">
        <f>ROUND(9.8299,4)</f>
        <v>9.8299</v>
      </c>
      <c r="G358" s="25"/>
      <c r="H358" s="26"/>
    </row>
    <row r="359" spans="1:8" ht="12.75" customHeight="1">
      <c r="A359" s="23">
        <v>43178</v>
      </c>
      <c r="B359" s="23"/>
      <c r="C359" s="28">
        <f>ROUND(9.67043091666667,4)</f>
        <v>9.6704</v>
      </c>
      <c r="D359" s="28">
        <f>F359</f>
        <v>9.9503</v>
      </c>
      <c r="E359" s="28">
        <f>F359</f>
        <v>9.9503</v>
      </c>
      <c r="F359" s="28">
        <f>ROUND(9.9503,4)</f>
        <v>9.9503</v>
      </c>
      <c r="G359" s="25"/>
      <c r="H359" s="26"/>
    </row>
    <row r="360" spans="1:8" ht="12.75" customHeight="1">
      <c r="A360" s="23">
        <v>43269</v>
      </c>
      <c r="B360" s="23"/>
      <c r="C360" s="28">
        <f>ROUND(9.67043091666667,4)</f>
        <v>9.6704</v>
      </c>
      <c r="D360" s="28">
        <f>F360</f>
        <v>10.0668</v>
      </c>
      <c r="E360" s="28">
        <f>F360</f>
        <v>10.0668</v>
      </c>
      <c r="F360" s="28">
        <f>ROUND(10.0668,4)</f>
        <v>10.0668</v>
      </c>
      <c r="G360" s="25"/>
      <c r="H360" s="26"/>
    </row>
    <row r="361" spans="1:8" ht="12.75" customHeight="1">
      <c r="A361" s="23">
        <v>43630</v>
      </c>
      <c r="B361" s="23"/>
      <c r="C361" s="28">
        <f>ROUND(9.67043091666667,4)</f>
        <v>9.6704</v>
      </c>
      <c r="D361" s="28">
        <f>F361</f>
        <v>10.5387</v>
      </c>
      <c r="E361" s="28">
        <f>F361</f>
        <v>10.5387</v>
      </c>
      <c r="F361" s="28">
        <f>ROUND(10.5387,4)</f>
        <v>10.5387</v>
      </c>
      <c r="G361" s="25"/>
      <c r="H361" s="26"/>
    </row>
    <row r="362" spans="1:8" ht="12.75" customHeight="1">
      <c r="A362" s="23" t="s">
        <v>79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42996</v>
      </c>
      <c r="B363" s="23"/>
      <c r="C363" s="28">
        <f>ROUND(9.68627019627973,4)</f>
        <v>9.6863</v>
      </c>
      <c r="D363" s="28">
        <f>F363</f>
        <v>9.7316</v>
      </c>
      <c r="E363" s="28">
        <f>F363</f>
        <v>9.7316</v>
      </c>
      <c r="F363" s="28">
        <f>ROUND(9.7316,4)</f>
        <v>9.7316</v>
      </c>
      <c r="G363" s="25"/>
      <c r="H363" s="26"/>
    </row>
    <row r="364" spans="1:8" ht="12.75" customHeight="1">
      <c r="A364" s="23">
        <v>43087</v>
      </c>
      <c r="B364" s="23"/>
      <c r="C364" s="28">
        <f>ROUND(9.68627019627973,4)</f>
        <v>9.6863</v>
      </c>
      <c r="D364" s="28">
        <f>F364</f>
        <v>9.8811</v>
      </c>
      <c r="E364" s="28">
        <f>F364</f>
        <v>9.8811</v>
      </c>
      <c r="F364" s="28">
        <f>ROUND(9.8811,4)</f>
        <v>9.8811</v>
      </c>
      <c r="G364" s="25"/>
      <c r="H364" s="26"/>
    </row>
    <row r="365" spans="1:8" ht="12.75" customHeight="1">
      <c r="A365" s="23">
        <v>43178</v>
      </c>
      <c r="B365" s="23"/>
      <c r="C365" s="28">
        <f>ROUND(9.68627019627973,4)</f>
        <v>9.6863</v>
      </c>
      <c r="D365" s="28">
        <f>F365</f>
        <v>10.0299</v>
      </c>
      <c r="E365" s="28">
        <f>F365</f>
        <v>10.0299</v>
      </c>
      <c r="F365" s="28">
        <f>ROUND(10.0299,4)</f>
        <v>10.0299</v>
      </c>
      <c r="G365" s="25"/>
      <c r="H365" s="26"/>
    </row>
    <row r="366" spans="1:8" ht="12.75" customHeight="1">
      <c r="A366" s="23">
        <v>43269</v>
      </c>
      <c r="B366" s="23"/>
      <c r="C366" s="28">
        <f>ROUND(9.68627019627973,4)</f>
        <v>9.6863</v>
      </c>
      <c r="D366" s="28">
        <f>F366</f>
        <v>10.1746</v>
      </c>
      <c r="E366" s="28">
        <f>F366</f>
        <v>10.1746</v>
      </c>
      <c r="F366" s="28">
        <f>ROUND(10.1746,4)</f>
        <v>10.1746</v>
      </c>
      <c r="G366" s="25"/>
      <c r="H366" s="26"/>
    </row>
    <row r="367" spans="1:8" ht="12.75" customHeight="1">
      <c r="A367" s="23">
        <v>43630</v>
      </c>
      <c r="B367" s="23"/>
      <c r="C367" s="28">
        <f>ROUND(9.68627019627973,4)</f>
        <v>9.6863</v>
      </c>
      <c r="D367" s="28">
        <f>F367</f>
        <v>10.7564</v>
      </c>
      <c r="E367" s="28">
        <f>F367</f>
        <v>10.7564</v>
      </c>
      <c r="F367" s="28">
        <f>ROUND(10.7564,4)</f>
        <v>10.7564</v>
      </c>
      <c r="G367" s="25"/>
      <c r="H367" s="26"/>
    </row>
    <row r="368" spans="1:8" ht="12.75" customHeight="1">
      <c r="A368" s="23" t="s">
        <v>80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42996</v>
      </c>
      <c r="B369" s="23"/>
      <c r="C369" s="28">
        <f>ROUND(3.75356388470537,4)</f>
        <v>3.7536</v>
      </c>
      <c r="D369" s="28">
        <f>F369</f>
        <v>3.7408</v>
      </c>
      <c r="E369" s="28">
        <f>F369</f>
        <v>3.7408</v>
      </c>
      <c r="F369" s="28">
        <f>ROUND(3.7408,4)</f>
        <v>3.7408</v>
      </c>
      <c r="G369" s="25"/>
      <c r="H369" s="26"/>
    </row>
    <row r="370" spans="1:8" ht="12.75" customHeight="1">
      <c r="A370" s="23">
        <v>43087</v>
      </c>
      <c r="B370" s="23"/>
      <c r="C370" s="28">
        <f>ROUND(3.75356388470537,4)</f>
        <v>3.7536</v>
      </c>
      <c r="D370" s="28">
        <f>F370</f>
        <v>3.6968</v>
      </c>
      <c r="E370" s="28">
        <f>F370</f>
        <v>3.6968</v>
      </c>
      <c r="F370" s="28">
        <f>ROUND(3.6968,4)</f>
        <v>3.6968</v>
      </c>
      <c r="G370" s="25"/>
      <c r="H370" s="26"/>
    </row>
    <row r="371" spans="1:8" ht="12.75" customHeight="1">
      <c r="A371" s="23">
        <v>43178</v>
      </c>
      <c r="B371" s="23"/>
      <c r="C371" s="28">
        <f>ROUND(3.75356388470537,4)</f>
        <v>3.7536</v>
      </c>
      <c r="D371" s="28">
        <f>F371</f>
        <v>3.6555</v>
      </c>
      <c r="E371" s="28">
        <f>F371</f>
        <v>3.6555</v>
      </c>
      <c r="F371" s="28">
        <f>ROUND(3.6555,4)</f>
        <v>3.6555</v>
      </c>
      <c r="G371" s="25"/>
      <c r="H371" s="26"/>
    </row>
    <row r="372" spans="1:8" ht="12.75" customHeight="1">
      <c r="A372" s="23">
        <v>43269</v>
      </c>
      <c r="B372" s="23"/>
      <c r="C372" s="28">
        <f>ROUND(3.75356388470537,4)</f>
        <v>3.7536</v>
      </c>
      <c r="D372" s="28">
        <f>F372</f>
        <v>3.6162</v>
      </c>
      <c r="E372" s="28">
        <f>F372</f>
        <v>3.6162</v>
      </c>
      <c r="F372" s="28">
        <f>ROUND(3.6162,4)</f>
        <v>3.6162</v>
      </c>
      <c r="G372" s="25"/>
      <c r="H372" s="26"/>
    </row>
    <row r="373" spans="1:8" ht="12.75" customHeight="1">
      <c r="A373" s="23">
        <v>43630</v>
      </c>
      <c r="B373" s="23"/>
      <c r="C373" s="28">
        <f>ROUND(3.75356388470537,4)</f>
        <v>3.7536</v>
      </c>
      <c r="D373" s="28">
        <f>F373</f>
        <v>3.4371</v>
      </c>
      <c r="E373" s="28">
        <f>F373</f>
        <v>3.4371</v>
      </c>
      <c r="F373" s="28">
        <f>ROUND(3.4371,4)</f>
        <v>3.4371</v>
      </c>
      <c r="G373" s="25"/>
      <c r="H373" s="26"/>
    </row>
    <row r="374" spans="1:8" ht="12.75" customHeight="1">
      <c r="A374" s="23" t="s">
        <v>81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42996</v>
      </c>
      <c r="B375" s="23"/>
      <c r="C375" s="28">
        <f>ROUND(13.2091666666667,4)</f>
        <v>13.2092</v>
      </c>
      <c r="D375" s="28">
        <f>F375</f>
        <v>13.2677</v>
      </c>
      <c r="E375" s="28">
        <f>F375</f>
        <v>13.2677</v>
      </c>
      <c r="F375" s="28">
        <f>ROUND(13.2677,4)</f>
        <v>13.2677</v>
      </c>
      <c r="G375" s="25"/>
      <c r="H375" s="26"/>
    </row>
    <row r="376" spans="1:8" ht="12.75" customHeight="1">
      <c r="A376" s="23">
        <v>43087</v>
      </c>
      <c r="B376" s="23"/>
      <c r="C376" s="28">
        <f>ROUND(13.2091666666667,4)</f>
        <v>13.2092</v>
      </c>
      <c r="D376" s="28">
        <f>F376</f>
        <v>13.4568</v>
      </c>
      <c r="E376" s="28">
        <f>F376</f>
        <v>13.4568</v>
      </c>
      <c r="F376" s="28">
        <f>ROUND(13.4568,4)</f>
        <v>13.4568</v>
      </c>
      <c r="G376" s="25"/>
      <c r="H376" s="26"/>
    </row>
    <row r="377" spans="1:8" ht="12.75" customHeight="1">
      <c r="A377" s="23">
        <v>43178</v>
      </c>
      <c r="B377" s="23"/>
      <c r="C377" s="28">
        <f>ROUND(13.2091666666667,4)</f>
        <v>13.2092</v>
      </c>
      <c r="D377" s="28">
        <f>F377</f>
        <v>13.6429</v>
      </c>
      <c r="E377" s="28">
        <f>F377</f>
        <v>13.6429</v>
      </c>
      <c r="F377" s="28">
        <f>ROUND(13.6429,4)</f>
        <v>13.6429</v>
      </c>
      <c r="G377" s="25"/>
      <c r="H377" s="26"/>
    </row>
    <row r="378" spans="1:8" ht="12.75" customHeight="1">
      <c r="A378" s="23">
        <v>43269</v>
      </c>
      <c r="B378" s="23"/>
      <c r="C378" s="28">
        <f>ROUND(13.2091666666667,4)</f>
        <v>13.2092</v>
      </c>
      <c r="D378" s="28">
        <f>F378</f>
        <v>13.8239</v>
      </c>
      <c r="E378" s="28">
        <f>F378</f>
        <v>13.8239</v>
      </c>
      <c r="F378" s="28">
        <f>ROUND(13.8239,4)</f>
        <v>13.8239</v>
      </c>
      <c r="G378" s="25"/>
      <c r="H378" s="26"/>
    </row>
    <row r="379" spans="1:8" ht="12.75" customHeight="1">
      <c r="A379" s="23">
        <v>43360</v>
      </c>
      <c r="B379" s="23"/>
      <c r="C379" s="28">
        <f>ROUND(13.2091666666667,4)</f>
        <v>13.2092</v>
      </c>
      <c r="D379" s="28">
        <f>F379</f>
        <v>14.0057</v>
      </c>
      <c r="E379" s="28">
        <f>F379</f>
        <v>14.0057</v>
      </c>
      <c r="F379" s="28">
        <v>14.0057</v>
      </c>
      <c r="G379" s="25"/>
      <c r="H379" s="26"/>
    </row>
    <row r="380" spans="1:8" ht="12.75" customHeight="1">
      <c r="A380" s="23">
        <v>43630</v>
      </c>
      <c r="B380" s="23"/>
      <c r="C380" s="28">
        <f>ROUND(13.2091666666667,4)</f>
        <v>13.2092</v>
      </c>
      <c r="D380" s="28">
        <f>F380</f>
        <v>14.5656</v>
      </c>
      <c r="E380" s="28">
        <f>F380</f>
        <v>14.5656</v>
      </c>
      <c r="F380" s="28">
        <v>14.5656</v>
      </c>
      <c r="G380" s="25"/>
      <c r="H380" s="26"/>
    </row>
    <row r="381" spans="1:8" ht="12.75" customHeight="1">
      <c r="A381" s="23" t="s">
        <v>82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42996</v>
      </c>
      <c r="B382" s="23"/>
      <c r="C382" s="28">
        <f>ROUND(13.2091666666667,4)</f>
        <v>13.2092</v>
      </c>
      <c r="D382" s="28">
        <f>F382</f>
        <v>13.2677</v>
      </c>
      <c r="E382" s="28">
        <f>F382</f>
        <v>13.2677</v>
      </c>
      <c r="F382" s="28">
        <f>ROUND(13.2677,4)</f>
        <v>13.2677</v>
      </c>
      <c r="G382" s="25"/>
      <c r="H382" s="26"/>
    </row>
    <row r="383" spans="1:8" ht="12.75" customHeight="1">
      <c r="A383" s="23">
        <v>43087</v>
      </c>
      <c r="B383" s="23"/>
      <c r="C383" s="28">
        <f>ROUND(13.2091666666667,4)</f>
        <v>13.2092</v>
      </c>
      <c r="D383" s="28">
        <f>F383</f>
        <v>13.4568</v>
      </c>
      <c r="E383" s="28">
        <f>F383</f>
        <v>13.4568</v>
      </c>
      <c r="F383" s="28">
        <f>ROUND(13.4568,4)</f>
        <v>13.4568</v>
      </c>
      <c r="G383" s="25"/>
      <c r="H383" s="26"/>
    </row>
    <row r="384" spans="1:8" ht="12.75" customHeight="1">
      <c r="A384" s="23">
        <v>43175</v>
      </c>
      <c r="B384" s="23"/>
      <c r="C384" s="28">
        <f>ROUND(13.2091666666667,4)</f>
        <v>13.2092</v>
      </c>
      <c r="D384" s="28">
        <f>F384</f>
        <v>17.5004</v>
      </c>
      <c r="E384" s="28">
        <f>F384</f>
        <v>17.5004</v>
      </c>
      <c r="F384" s="28">
        <f>ROUND(17.5004,4)</f>
        <v>17.5004</v>
      </c>
      <c r="G384" s="25"/>
      <c r="H384" s="26"/>
    </row>
    <row r="385" spans="1:8" ht="12.75" customHeight="1">
      <c r="A385" s="23">
        <v>43178</v>
      </c>
      <c r="B385" s="23"/>
      <c r="C385" s="28">
        <f>ROUND(13.2091666666667,4)</f>
        <v>13.2092</v>
      </c>
      <c r="D385" s="28">
        <f>F385</f>
        <v>13.6429</v>
      </c>
      <c r="E385" s="28">
        <f>F385</f>
        <v>13.6429</v>
      </c>
      <c r="F385" s="28">
        <f>ROUND(13.6429,4)</f>
        <v>13.6429</v>
      </c>
      <c r="G385" s="25"/>
      <c r="H385" s="26"/>
    </row>
    <row r="386" spans="1:8" ht="12.75" customHeight="1">
      <c r="A386" s="23">
        <v>43269</v>
      </c>
      <c r="B386" s="23"/>
      <c r="C386" s="28">
        <f>ROUND(13.2091666666667,4)</f>
        <v>13.2092</v>
      </c>
      <c r="D386" s="28">
        <f>F386</f>
        <v>13.8239</v>
      </c>
      <c r="E386" s="28">
        <f>F386</f>
        <v>13.8239</v>
      </c>
      <c r="F386" s="28">
        <f>ROUND(13.8239,4)</f>
        <v>13.8239</v>
      </c>
      <c r="G386" s="25"/>
      <c r="H386" s="26"/>
    </row>
    <row r="387" spans="1:8" ht="12.75" customHeight="1">
      <c r="A387" s="23">
        <v>43360</v>
      </c>
      <c r="B387" s="23"/>
      <c r="C387" s="28">
        <f>ROUND(13.2091666666667,4)</f>
        <v>13.2092</v>
      </c>
      <c r="D387" s="28">
        <f>F387</f>
        <v>14.0057</v>
      </c>
      <c r="E387" s="28">
        <f>F387</f>
        <v>14.0057</v>
      </c>
      <c r="F387" s="28">
        <f>ROUND(14.0057,4)</f>
        <v>14.0057</v>
      </c>
      <c r="G387" s="25"/>
      <c r="H387" s="26"/>
    </row>
    <row r="388" spans="1:8" ht="12.75" customHeight="1">
      <c r="A388" s="23">
        <v>43448</v>
      </c>
      <c r="B388" s="23"/>
      <c r="C388" s="28">
        <f>ROUND(13.2091666666667,4)</f>
        <v>13.2092</v>
      </c>
      <c r="D388" s="28">
        <f>F388</f>
        <v>14.1882</v>
      </c>
      <c r="E388" s="28">
        <f>F388</f>
        <v>14.1882</v>
      </c>
      <c r="F388" s="28">
        <f>ROUND(14.1882,4)</f>
        <v>14.1882</v>
      </c>
      <c r="G388" s="25"/>
      <c r="H388" s="26"/>
    </row>
    <row r="389" spans="1:8" ht="12.75" customHeight="1">
      <c r="A389" s="23">
        <v>43542</v>
      </c>
      <c r="B389" s="23"/>
      <c r="C389" s="28">
        <f>ROUND(13.2091666666667,4)</f>
        <v>13.2092</v>
      </c>
      <c r="D389" s="28">
        <f>F389</f>
        <v>14.3831</v>
      </c>
      <c r="E389" s="28">
        <f>F389</f>
        <v>14.3831</v>
      </c>
      <c r="F389" s="28">
        <f>ROUND(14.3831,4)</f>
        <v>14.3831</v>
      </c>
      <c r="G389" s="25"/>
      <c r="H389" s="26"/>
    </row>
    <row r="390" spans="1:8" ht="12.75" customHeight="1">
      <c r="A390" s="23">
        <v>43630</v>
      </c>
      <c r="B390" s="23"/>
      <c r="C390" s="28">
        <f>ROUND(13.2091666666667,4)</f>
        <v>13.2092</v>
      </c>
      <c r="D390" s="28">
        <f>F390</f>
        <v>14.5656</v>
      </c>
      <c r="E390" s="28">
        <f>F390</f>
        <v>14.5656</v>
      </c>
      <c r="F390" s="28">
        <f>ROUND(14.5656,4)</f>
        <v>14.5656</v>
      </c>
      <c r="G390" s="25"/>
      <c r="H390" s="26"/>
    </row>
    <row r="391" spans="1:8" ht="12.75" customHeight="1">
      <c r="A391" s="23">
        <v>43724</v>
      </c>
      <c r="B391" s="23"/>
      <c r="C391" s="28">
        <f>ROUND(13.2091666666667,4)</f>
        <v>13.2092</v>
      </c>
      <c r="D391" s="28">
        <f>F391</f>
        <v>14.771</v>
      </c>
      <c r="E391" s="28">
        <f>F391</f>
        <v>14.771</v>
      </c>
      <c r="F391" s="28">
        <f>ROUND(14.771,4)</f>
        <v>14.771</v>
      </c>
      <c r="G391" s="25"/>
      <c r="H391" s="26"/>
    </row>
    <row r="392" spans="1:8" ht="12.75" customHeight="1">
      <c r="A392" s="23">
        <v>43812</v>
      </c>
      <c r="B392" s="23"/>
      <c r="C392" s="28">
        <f>ROUND(13.2091666666667,4)</f>
        <v>13.2092</v>
      </c>
      <c r="D392" s="28">
        <f>F392</f>
        <v>14.9903</v>
      </c>
      <c r="E392" s="28">
        <f>F392</f>
        <v>14.9903</v>
      </c>
      <c r="F392" s="28">
        <f>ROUND(14.9903,4)</f>
        <v>14.9903</v>
      </c>
      <c r="G392" s="25"/>
      <c r="H392" s="26"/>
    </row>
    <row r="393" spans="1:8" ht="12.75" customHeight="1">
      <c r="A393" s="23">
        <v>43906</v>
      </c>
      <c r="B393" s="23"/>
      <c r="C393" s="28">
        <f>ROUND(13.2091666666667,4)</f>
        <v>13.2092</v>
      </c>
      <c r="D393" s="28">
        <f>F393</f>
        <v>15.2246</v>
      </c>
      <c r="E393" s="28">
        <f>F393</f>
        <v>15.2246</v>
      </c>
      <c r="F393" s="28">
        <f>ROUND(15.2246,4)</f>
        <v>15.2246</v>
      </c>
      <c r="G393" s="25"/>
      <c r="H393" s="26"/>
    </row>
    <row r="394" spans="1:8" ht="12.75" customHeight="1">
      <c r="A394" s="23">
        <v>43994</v>
      </c>
      <c r="B394" s="23"/>
      <c r="C394" s="28">
        <f>ROUND(13.2091666666667,4)</f>
        <v>13.2092</v>
      </c>
      <c r="D394" s="28">
        <f>F394</f>
        <v>15.444</v>
      </c>
      <c r="E394" s="28">
        <f>F394</f>
        <v>15.444</v>
      </c>
      <c r="F394" s="28">
        <f>ROUND(15.444,4)</f>
        <v>15.444</v>
      </c>
      <c r="G394" s="25"/>
      <c r="H394" s="26"/>
    </row>
    <row r="395" spans="1:8" ht="12.75" customHeight="1">
      <c r="A395" s="23">
        <v>44088</v>
      </c>
      <c r="B395" s="23"/>
      <c r="C395" s="28">
        <f>ROUND(13.2091666666667,4)</f>
        <v>13.2092</v>
      </c>
      <c r="D395" s="28">
        <f>F395</f>
        <v>15.6783</v>
      </c>
      <c r="E395" s="28">
        <f>F395</f>
        <v>15.6783</v>
      </c>
      <c r="F395" s="28">
        <f>ROUND(15.6783,4)</f>
        <v>15.6783</v>
      </c>
      <c r="G395" s="25"/>
      <c r="H395" s="26"/>
    </row>
    <row r="396" spans="1:8" ht="12.75" customHeight="1">
      <c r="A396" s="23" t="s">
        <v>83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42996</v>
      </c>
      <c r="B397" s="23"/>
      <c r="C397" s="28">
        <f>ROUND(1.46801140994295,4)</f>
        <v>1.468</v>
      </c>
      <c r="D397" s="28">
        <f>F397</f>
        <v>1.4569</v>
      </c>
      <c r="E397" s="28">
        <f>F397</f>
        <v>1.4569</v>
      </c>
      <c r="F397" s="28">
        <f>ROUND(1.4569,4)</f>
        <v>1.4569</v>
      </c>
      <c r="G397" s="25"/>
      <c r="H397" s="26"/>
    </row>
    <row r="398" spans="1:8" ht="12.75" customHeight="1">
      <c r="A398" s="23">
        <v>43087</v>
      </c>
      <c r="B398" s="23"/>
      <c r="C398" s="28">
        <f>ROUND(1.46801140994295,4)</f>
        <v>1.468</v>
      </c>
      <c r="D398" s="28">
        <f>F398</f>
        <v>1.4314</v>
      </c>
      <c r="E398" s="28">
        <f>F398</f>
        <v>1.4314</v>
      </c>
      <c r="F398" s="28">
        <f>ROUND(1.4314,4)</f>
        <v>1.4314</v>
      </c>
      <c r="G398" s="25"/>
      <c r="H398" s="26"/>
    </row>
    <row r="399" spans="1:8" ht="12.75" customHeight="1">
      <c r="A399" s="23">
        <v>43178</v>
      </c>
      <c r="B399" s="23"/>
      <c r="C399" s="28">
        <f>ROUND(1.46801140994295,4)</f>
        <v>1.468</v>
      </c>
      <c r="D399" s="28">
        <f>F399</f>
        <v>1.4093</v>
      </c>
      <c r="E399" s="28">
        <f>F399</f>
        <v>1.4093</v>
      </c>
      <c r="F399" s="28">
        <f>ROUND(1.4093,4)</f>
        <v>1.4093</v>
      </c>
      <c r="G399" s="25"/>
      <c r="H399" s="26"/>
    </row>
    <row r="400" spans="1:8" ht="12.75" customHeight="1">
      <c r="A400" s="23">
        <v>43269</v>
      </c>
      <c r="B400" s="23"/>
      <c r="C400" s="28">
        <f>ROUND(1.46801140994295,4)</f>
        <v>1.468</v>
      </c>
      <c r="D400" s="28">
        <f>F400</f>
        <v>1.3901</v>
      </c>
      <c r="E400" s="28">
        <f>F400</f>
        <v>1.3901</v>
      </c>
      <c r="F400" s="28">
        <f>ROUND(1.3901,4)</f>
        <v>1.3901</v>
      </c>
      <c r="G400" s="25"/>
      <c r="H400" s="26"/>
    </row>
    <row r="401" spans="1:8" ht="12.75" customHeight="1">
      <c r="A401" s="23">
        <v>43630</v>
      </c>
      <c r="B401" s="23"/>
      <c r="C401" s="28">
        <f>ROUND(1.46801140994295,4)</f>
        <v>1.468</v>
      </c>
      <c r="D401" s="28">
        <f>F401</f>
        <v>1.2764</v>
      </c>
      <c r="E401" s="28">
        <f>F401</f>
        <v>1.2764</v>
      </c>
      <c r="F401" s="28">
        <f>ROUND(1.2764,4)</f>
        <v>1.2764</v>
      </c>
      <c r="G401" s="25"/>
      <c r="H401" s="26"/>
    </row>
    <row r="402" spans="1:8" ht="12.75" customHeight="1">
      <c r="A402" s="23" t="s">
        <v>84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43041</v>
      </c>
      <c r="B403" s="23"/>
      <c r="C403" s="29">
        <f>ROUND(618.881,3)</f>
        <v>618.881</v>
      </c>
      <c r="D403" s="29">
        <f>F403</f>
        <v>628.317</v>
      </c>
      <c r="E403" s="29">
        <f>F403</f>
        <v>628.317</v>
      </c>
      <c r="F403" s="29">
        <f>ROUND(628.317,3)</f>
        <v>628.317</v>
      </c>
      <c r="G403" s="25"/>
      <c r="H403" s="26"/>
    </row>
    <row r="404" spans="1:8" ht="12.75" customHeight="1">
      <c r="A404" s="23">
        <v>43132</v>
      </c>
      <c r="B404" s="23"/>
      <c r="C404" s="29">
        <f>ROUND(618.881,3)</f>
        <v>618.881</v>
      </c>
      <c r="D404" s="29">
        <f>F404</f>
        <v>639.856</v>
      </c>
      <c r="E404" s="29">
        <f>F404</f>
        <v>639.856</v>
      </c>
      <c r="F404" s="29">
        <f>ROUND(639.856,3)</f>
        <v>639.856</v>
      </c>
      <c r="G404" s="25"/>
      <c r="H404" s="26"/>
    </row>
    <row r="405" spans="1:8" ht="12.75" customHeight="1">
      <c r="A405" s="23">
        <v>43223</v>
      </c>
      <c r="B405" s="23"/>
      <c r="C405" s="29">
        <f>ROUND(618.881,3)</f>
        <v>618.881</v>
      </c>
      <c r="D405" s="29">
        <f>F405</f>
        <v>651.854</v>
      </c>
      <c r="E405" s="29">
        <f>F405</f>
        <v>651.854</v>
      </c>
      <c r="F405" s="29">
        <f>ROUND(651.854,3)</f>
        <v>651.854</v>
      </c>
      <c r="G405" s="25"/>
      <c r="H405" s="26"/>
    </row>
    <row r="406" spans="1:8" ht="12.75" customHeight="1">
      <c r="A406" s="23">
        <v>43314</v>
      </c>
      <c r="B406" s="23"/>
      <c r="C406" s="29">
        <f>ROUND(618.881,3)</f>
        <v>618.881</v>
      </c>
      <c r="D406" s="29">
        <f>F406</f>
        <v>664.129</v>
      </c>
      <c r="E406" s="29">
        <f>F406</f>
        <v>664.129</v>
      </c>
      <c r="F406" s="29">
        <f>ROUND(664.129,3)</f>
        <v>664.129</v>
      </c>
      <c r="G406" s="25"/>
      <c r="H406" s="26"/>
    </row>
    <row r="407" spans="1:8" ht="12.75" customHeight="1">
      <c r="A407" s="23" t="s">
        <v>85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43041</v>
      </c>
      <c r="B408" s="23"/>
      <c r="C408" s="29">
        <f>ROUND(551.053,3)</f>
        <v>551.053</v>
      </c>
      <c r="D408" s="29">
        <f>F408</f>
        <v>559.455</v>
      </c>
      <c r="E408" s="29">
        <f>F408</f>
        <v>559.455</v>
      </c>
      <c r="F408" s="29">
        <f>ROUND(559.455,3)</f>
        <v>559.455</v>
      </c>
      <c r="G408" s="25"/>
      <c r="H408" s="26"/>
    </row>
    <row r="409" spans="1:8" ht="12.75" customHeight="1">
      <c r="A409" s="23">
        <v>43132</v>
      </c>
      <c r="B409" s="23"/>
      <c r="C409" s="29">
        <f>ROUND(551.053,3)</f>
        <v>551.053</v>
      </c>
      <c r="D409" s="29">
        <f>F409</f>
        <v>569.729</v>
      </c>
      <c r="E409" s="29">
        <f>F409</f>
        <v>569.729</v>
      </c>
      <c r="F409" s="29">
        <f>ROUND(569.729,3)</f>
        <v>569.729</v>
      </c>
      <c r="G409" s="25"/>
      <c r="H409" s="26"/>
    </row>
    <row r="410" spans="1:8" ht="12.75" customHeight="1">
      <c r="A410" s="23">
        <v>43223</v>
      </c>
      <c r="B410" s="23"/>
      <c r="C410" s="29">
        <f>ROUND(551.053,3)</f>
        <v>551.053</v>
      </c>
      <c r="D410" s="29">
        <f>F410</f>
        <v>580.412</v>
      </c>
      <c r="E410" s="29">
        <f>F410</f>
        <v>580.412</v>
      </c>
      <c r="F410" s="29">
        <f>ROUND(580.412,3)</f>
        <v>580.412</v>
      </c>
      <c r="G410" s="25"/>
      <c r="H410" s="26"/>
    </row>
    <row r="411" spans="1:8" ht="12.75" customHeight="1">
      <c r="A411" s="23">
        <v>43314</v>
      </c>
      <c r="B411" s="23"/>
      <c r="C411" s="29">
        <f>ROUND(551.053,3)</f>
        <v>551.053</v>
      </c>
      <c r="D411" s="29">
        <f>F411</f>
        <v>591.342</v>
      </c>
      <c r="E411" s="29">
        <f>F411</f>
        <v>591.342</v>
      </c>
      <c r="F411" s="29">
        <f>ROUND(591.342,3)</f>
        <v>591.342</v>
      </c>
      <c r="G411" s="25"/>
      <c r="H411" s="26"/>
    </row>
    <row r="412" spans="1:8" ht="12.75" customHeight="1">
      <c r="A412" s="23" t="s">
        <v>86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43041</v>
      </c>
      <c r="B413" s="23"/>
      <c r="C413" s="29">
        <f>ROUND(634.592,3)</f>
        <v>634.592</v>
      </c>
      <c r="D413" s="29">
        <f>F413</f>
        <v>644.268</v>
      </c>
      <c r="E413" s="29">
        <f>F413</f>
        <v>644.268</v>
      </c>
      <c r="F413" s="29">
        <f>ROUND(644.268,3)</f>
        <v>644.268</v>
      </c>
      <c r="G413" s="25"/>
      <c r="H413" s="26"/>
    </row>
    <row r="414" spans="1:8" ht="12.75" customHeight="1">
      <c r="A414" s="23">
        <v>43132</v>
      </c>
      <c r="B414" s="23"/>
      <c r="C414" s="29">
        <f>ROUND(634.592,3)</f>
        <v>634.592</v>
      </c>
      <c r="D414" s="29">
        <f>F414</f>
        <v>656.099</v>
      </c>
      <c r="E414" s="29">
        <f>F414</f>
        <v>656.099</v>
      </c>
      <c r="F414" s="29">
        <f>ROUND(656.099,3)</f>
        <v>656.099</v>
      </c>
      <c r="G414" s="25"/>
      <c r="H414" s="26"/>
    </row>
    <row r="415" spans="1:8" ht="12.75" customHeight="1">
      <c r="A415" s="23">
        <v>43223</v>
      </c>
      <c r="B415" s="23"/>
      <c r="C415" s="29">
        <f>ROUND(634.592,3)</f>
        <v>634.592</v>
      </c>
      <c r="D415" s="29">
        <f>F415</f>
        <v>668.402</v>
      </c>
      <c r="E415" s="29">
        <f>F415</f>
        <v>668.402</v>
      </c>
      <c r="F415" s="29">
        <f>ROUND(668.402,3)</f>
        <v>668.402</v>
      </c>
      <c r="G415" s="25"/>
      <c r="H415" s="26"/>
    </row>
    <row r="416" spans="1:8" ht="12.75" customHeight="1">
      <c r="A416" s="23">
        <v>43314</v>
      </c>
      <c r="B416" s="23"/>
      <c r="C416" s="29">
        <f>ROUND(634.592,3)</f>
        <v>634.592</v>
      </c>
      <c r="D416" s="29">
        <f>F416</f>
        <v>680.989</v>
      </c>
      <c r="E416" s="29">
        <f>F416</f>
        <v>680.989</v>
      </c>
      <c r="F416" s="29">
        <f>ROUND(680.989,3)</f>
        <v>680.989</v>
      </c>
      <c r="G416" s="25"/>
      <c r="H416" s="26"/>
    </row>
    <row r="417" spans="1:8" ht="12.75" customHeight="1">
      <c r="A417" s="23" t="s">
        <v>87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43041</v>
      </c>
      <c r="B418" s="23"/>
      <c r="C418" s="29">
        <f>ROUND(570.074,3)</f>
        <v>570.074</v>
      </c>
      <c r="D418" s="29">
        <f>F418</f>
        <v>578.766</v>
      </c>
      <c r="E418" s="29">
        <f>F418</f>
        <v>578.766</v>
      </c>
      <c r="F418" s="29">
        <f>ROUND(578.766,3)</f>
        <v>578.766</v>
      </c>
      <c r="G418" s="25"/>
      <c r="H418" s="26"/>
    </row>
    <row r="419" spans="1:8" ht="12.75" customHeight="1">
      <c r="A419" s="23">
        <v>43132</v>
      </c>
      <c r="B419" s="23"/>
      <c r="C419" s="29">
        <f>ROUND(570.074,3)</f>
        <v>570.074</v>
      </c>
      <c r="D419" s="29">
        <f>F419</f>
        <v>589.395</v>
      </c>
      <c r="E419" s="29">
        <f>F419</f>
        <v>589.395</v>
      </c>
      <c r="F419" s="29">
        <f>ROUND(589.395,3)</f>
        <v>589.395</v>
      </c>
      <c r="G419" s="25"/>
      <c r="H419" s="26"/>
    </row>
    <row r="420" spans="1:8" ht="12.75" customHeight="1">
      <c r="A420" s="23">
        <v>43223</v>
      </c>
      <c r="B420" s="23"/>
      <c r="C420" s="29">
        <f>ROUND(570.074,3)</f>
        <v>570.074</v>
      </c>
      <c r="D420" s="29">
        <f>F420</f>
        <v>600.447</v>
      </c>
      <c r="E420" s="29">
        <f>F420</f>
        <v>600.447</v>
      </c>
      <c r="F420" s="29">
        <f>ROUND(600.447,3)</f>
        <v>600.447</v>
      </c>
      <c r="G420" s="25"/>
      <c r="H420" s="26"/>
    </row>
    <row r="421" spans="1:8" ht="12.75" customHeight="1">
      <c r="A421" s="23">
        <v>43314</v>
      </c>
      <c r="B421" s="23"/>
      <c r="C421" s="29">
        <f>ROUND(570.074,3)</f>
        <v>570.074</v>
      </c>
      <c r="D421" s="29">
        <f>F421</f>
        <v>611.754</v>
      </c>
      <c r="E421" s="29">
        <f>F421</f>
        <v>611.754</v>
      </c>
      <c r="F421" s="29">
        <f>ROUND(611.754,3)</f>
        <v>611.754</v>
      </c>
      <c r="G421" s="25"/>
      <c r="H421" s="26"/>
    </row>
    <row r="422" spans="1:8" ht="12.75" customHeight="1">
      <c r="A422" s="23" t="s">
        <v>88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43041</v>
      </c>
      <c r="B423" s="23"/>
      <c r="C423" s="29">
        <f>ROUND(247.199299514852,3)</f>
        <v>247.199</v>
      </c>
      <c r="D423" s="29">
        <f>F423</f>
        <v>251.02</v>
      </c>
      <c r="E423" s="29">
        <f>F423</f>
        <v>251.02</v>
      </c>
      <c r="F423" s="29">
        <f>ROUND(251.02,3)</f>
        <v>251.02</v>
      </c>
      <c r="G423" s="25"/>
      <c r="H423" s="26"/>
    </row>
    <row r="424" spans="1:8" ht="12.75" customHeight="1">
      <c r="A424" s="23">
        <v>43132</v>
      </c>
      <c r="B424" s="23"/>
      <c r="C424" s="29">
        <f>ROUND(247.199299514852,3)</f>
        <v>247.199</v>
      </c>
      <c r="D424" s="29">
        <f>F424</f>
        <v>255.716</v>
      </c>
      <c r="E424" s="29">
        <f>F424</f>
        <v>255.716</v>
      </c>
      <c r="F424" s="29">
        <f>ROUND(255.716,3)</f>
        <v>255.716</v>
      </c>
      <c r="G424" s="25"/>
      <c r="H424" s="26"/>
    </row>
    <row r="425" spans="1:8" ht="12.75" customHeight="1">
      <c r="A425" s="23">
        <v>43223</v>
      </c>
      <c r="B425" s="23"/>
      <c r="C425" s="29">
        <f>ROUND(247.199299514852,3)</f>
        <v>247.199</v>
      </c>
      <c r="D425" s="29">
        <f>F425</f>
        <v>260.626</v>
      </c>
      <c r="E425" s="29">
        <f>F425</f>
        <v>260.626</v>
      </c>
      <c r="F425" s="29">
        <f>ROUND(260.626,3)</f>
        <v>260.626</v>
      </c>
      <c r="G425" s="25"/>
      <c r="H425" s="26"/>
    </row>
    <row r="426" spans="1:8" ht="12.75" customHeight="1">
      <c r="A426" s="23">
        <v>43314</v>
      </c>
      <c r="B426" s="23"/>
      <c r="C426" s="29">
        <f>ROUND(247.199299514852,3)</f>
        <v>247.199</v>
      </c>
      <c r="D426" s="29">
        <f>F426</f>
        <v>265.551</v>
      </c>
      <c r="E426" s="29">
        <f>F426</f>
        <v>265.551</v>
      </c>
      <c r="F426" s="29">
        <f>ROUND(265.551,3)</f>
        <v>265.551</v>
      </c>
      <c r="G426" s="25"/>
      <c r="H426" s="26"/>
    </row>
    <row r="427" spans="1:8" ht="12.75" customHeight="1">
      <c r="A427" s="23" t="s">
        <v>89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43041</v>
      </c>
      <c r="B428" s="23"/>
      <c r="C428" s="29">
        <f>ROUND(675.731,3)</f>
        <v>675.731</v>
      </c>
      <c r="D428" s="29">
        <f>F428</f>
        <v>709.665</v>
      </c>
      <c r="E428" s="29">
        <f>F428</f>
        <v>709.665</v>
      </c>
      <c r="F428" s="29">
        <f>ROUND(709.665,3)</f>
        <v>709.665</v>
      </c>
      <c r="G428" s="25"/>
      <c r="H428" s="26"/>
    </row>
    <row r="429" spans="1:8" ht="12.75" customHeight="1">
      <c r="A429" s="23">
        <v>43132</v>
      </c>
      <c r="B429" s="23"/>
      <c r="C429" s="29">
        <f>ROUND(675.731,3)</f>
        <v>675.731</v>
      </c>
      <c r="D429" s="29">
        <f>F429</f>
        <v>724.173</v>
      </c>
      <c r="E429" s="29">
        <f>F429</f>
        <v>724.173</v>
      </c>
      <c r="F429" s="29">
        <f>ROUND(724.173,3)</f>
        <v>724.173</v>
      </c>
      <c r="G429" s="25"/>
      <c r="H429" s="26"/>
    </row>
    <row r="430" spans="1:8" ht="12.75" customHeight="1">
      <c r="A430" s="23" t="s">
        <v>90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42996</v>
      </c>
      <c r="B431" s="23"/>
      <c r="C431" s="25">
        <f>ROUND(23356.3111340897,2)</f>
        <v>23356.31</v>
      </c>
      <c r="D431" s="25">
        <f>F431</f>
        <v>23444.88</v>
      </c>
      <c r="E431" s="25">
        <f>F431</f>
        <v>23444.88</v>
      </c>
      <c r="F431" s="25">
        <f>ROUND(23444.88,2)</f>
        <v>23444.88</v>
      </c>
      <c r="G431" s="25"/>
      <c r="H431" s="26"/>
    </row>
    <row r="432" spans="1:8" ht="12.75" customHeight="1">
      <c r="A432" s="23">
        <v>43087</v>
      </c>
      <c r="B432" s="23"/>
      <c r="C432" s="25">
        <f>ROUND(23356.3111340897,2)</f>
        <v>23356.31</v>
      </c>
      <c r="D432" s="25">
        <f>F432</f>
        <v>23818.42</v>
      </c>
      <c r="E432" s="25">
        <f>F432</f>
        <v>23818.42</v>
      </c>
      <c r="F432" s="25">
        <f>ROUND(23818.42,2)</f>
        <v>23818.42</v>
      </c>
      <c r="G432" s="25"/>
      <c r="H432" s="26"/>
    </row>
    <row r="433" spans="1:8" ht="12.75" customHeight="1">
      <c r="A433" s="23">
        <v>43178</v>
      </c>
      <c r="B433" s="23"/>
      <c r="C433" s="25">
        <f>ROUND(23356.3111340897,2)</f>
        <v>23356.31</v>
      </c>
      <c r="D433" s="25">
        <f>F433</f>
        <v>24191.43</v>
      </c>
      <c r="E433" s="25">
        <f>F433</f>
        <v>24191.43</v>
      </c>
      <c r="F433" s="25">
        <f>ROUND(24191.43,2)</f>
        <v>24191.43</v>
      </c>
      <c r="G433" s="25"/>
      <c r="H433" s="26"/>
    </row>
    <row r="434" spans="1:8" ht="12.75" customHeight="1">
      <c r="A434" s="23" t="s">
        <v>91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42998</v>
      </c>
      <c r="B435" s="23"/>
      <c r="C435" s="29">
        <f>ROUND(7.058,3)</f>
        <v>7.058</v>
      </c>
      <c r="D435" s="29">
        <f>ROUND(7.06,3)</f>
        <v>7.06</v>
      </c>
      <c r="E435" s="29">
        <f>ROUND(6.96,3)</f>
        <v>6.96</v>
      </c>
      <c r="F435" s="29">
        <f>ROUND(7.01,3)</f>
        <v>7.01</v>
      </c>
      <c r="G435" s="25"/>
      <c r="H435" s="26"/>
    </row>
    <row r="436" spans="1:8" ht="12.75" customHeight="1">
      <c r="A436" s="23">
        <v>43026</v>
      </c>
      <c r="B436" s="23"/>
      <c r="C436" s="29">
        <f>ROUND(7.058,3)</f>
        <v>7.058</v>
      </c>
      <c r="D436" s="29">
        <f>ROUND(6.95,3)</f>
        <v>6.95</v>
      </c>
      <c r="E436" s="29">
        <f>ROUND(6.85,3)</f>
        <v>6.85</v>
      </c>
      <c r="F436" s="29">
        <f>ROUND(6.9,3)</f>
        <v>6.9</v>
      </c>
      <c r="G436" s="25"/>
      <c r="H436" s="26"/>
    </row>
    <row r="437" spans="1:8" ht="12.75" customHeight="1">
      <c r="A437" s="23">
        <v>43054</v>
      </c>
      <c r="B437" s="23"/>
      <c r="C437" s="29">
        <f>ROUND(7.058,3)</f>
        <v>7.058</v>
      </c>
      <c r="D437" s="29">
        <f>ROUND(6.93,3)</f>
        <v>6.93</v>
      </c>
      <c r="E437" s="29">
        <f>ROUND(6.83,3)</f>
        <v>6.83</v>
      </c>
      <c r="F437" s="29">
        <f>ROUND(6.88,3)</f>
        <v>6.88</v>
      </c>
      <c r="G437" s="25"/>
      <c r="H437" s="26"/>
    </row>
    <row r="438" spans="1:8" ht="12.75" customHeight="1">
      <c r="A438" s="23">
        <v>43089</v>
      </c>
      <c r="B438" s="23"/>
      <c r="C438" s="29">
        <f>ROUND(7.058,3)</f>
        <v>7.058</v>
      </c>
      <c r="D438" s="29">
        <f>ROUND(6.81,3)</f>
        <v>6.81</v>
      </c>
      <c r="E438" s="29">
        <f>ROUND(6.71,3)</f>
        <v>6.71</v>
      </c>
      <c r="F438" s="29">
        <f>ROUND(6.76,3)</f>
        <v>6.76</v>
      </c>
      <c r="G438" s="25"/>
      <c r="H438" s="26"/>
    </row>
    <row r="439" spans="1:8" ht="12.75" customHeight="1">
      <c r="A439" s="23">
        <v>43117</v>
      </c>
      <c r="B439" s="23"/>
      <c r="C439" s="29">
        <f>ROUND(7.058,3)</f>
        <v>7.058</v>
      </c>
      <c r="D439" s="29">
        <f>ROUND(6.8,3)</f>
        <v>6.8</v>
      </c>
      <c r="E439" s="29">
        <f>ROUND(6.7,3)</f>
        <v>6.7</v>
      </c>
      <c r="F439" s="29">
        <f>ROUND(6.75,3)</f>
        <v>6.75</v>
      </c>
      <c r="G439" s="25"/>
      <c r="H439" s="26"/>
    </row>
    <row r="440" spans="1:8" ht="12.75" customHeight="1">
      <c r="A440" s="23">
        <v>43152</v>
      </c>
      <c r="B440" s="23"/>
      <c r="C440" s="29">
        <f>ROUND(7.058,3)</f>
        <v>7.058</v>
      </c>
      <c r="D440" s="29">
        <f>F440</f>
        <v>6.67</v>
      </c>
      <c r="E440" s="29">
        <f>F440</f>
        <v>6.67</v>
      </c>
      <c r="F440" s="29">
        <f>ROUND(6.67,3)</f>
        <v>6.67</v>
      </c>
      <c r="G440" s="25"/>
      <c r="H440" s="26"/>
    </row>
    <row r="441" spans="1:8" ht="12.75" customHeight="1">
      <c r="A441" s="23">
        <v>43179</v>
      </c>
      <c r="B441" s="23"/>
      <c r="C441" s="29">
        <f>ROUND(7.058,3)</f>
        <v>7.058</v>
      </c>
      <c r="D441" s="29">
        <f>ROUND(6.71,3)</f>
        <v>6.71</v>
      </c>
      <c r="E441" s="29">
        <f>ROUND(6.61,3)</f>
        <v>6.61</v>
      </c>
      <c r="F441" s="29">
        <f>ROUND(6.66,3)</f>
        <v>6.66</v>
      </c>
      <c r="G441" s="25"/>
      <c r="H441" s="26"/>
    </row>
    <row r="442" spans="1:8" ht="12.75" customHeight="1">
      <c r="A442" s="23">
        <v>43269</v>
      </c>
      <c r="B442" s="23"/>
      <c r="C442" s="29">
        <f>ROUND(7.058,3)</f>
        <v>7.058</v>
      </c>
      <c r="D442" s="29">
        <f>ROUND(7.51,3)</f>
        <v>7.51</v>
      </c>
      <c r="E442" s="29">
        <f>ROUND(7.41,3)</f>
        <v>7.41</v>
      </c>
      <c r="F442" s="29">
        <f>ROUND(7.46,3)</f>
        <v>7.46</v>
      </c>
      <c r="G442" s="25"/>
      <c r="H442" s="26"/>
    </row>
    <row r="443" spans="1:8" ht="12.75" customHeight="1">
      <c r="A443" s="23">
        <v>43271</v>
      </c>
      <c r="B443" s="23"/>
      <c r="C443" s="29">
        <f>ROUND(7.058,3)</f>
        <v>7.058</v>
      </c>
      <c r="D443" s="29">
        <f>ROUND(6.61,3)</f>
        <v>6.61</v>
      </c>
      <c r="E443" s="29">
        <f>ROUND(6.51,3)</f>
        <v>6.51</v>
      </c>
      <c r="F443" s="29">
        <f>ROUND(6.56,3)</f>
        <v>6.56</v>
      </c>
      <c r="G443" s="25"/>
      <c r="H443" s="26"/>
    </row>
    <row r="444" spans="1:8" ht="12.75" customHeight="1">
      <c r="A444" s="23">
        <v>43362</v>
      </c>
      <c r="B444" s="23"/>
      <c r="C444" s="29">
        <f>ROUND(7.058,3)</f>
        <v>7.058</v>
      </c>
      <c r="D444" s="29">
        <f>ROUND(6.6,3)</f>
        <v>6.6</v>
      </c>
      <c r="E444" s="29">
        <f>ROUND(6.5,3)</f>
        <v>6.5</v>
      </c>
      <c r="F444" s="29">
        <f>ROUND(6.55,3)</f>
        <v>6.55</v>
      </c>
      <c r="G444" s="25"/>
      <c r="H444" s="26"/>
    </row>
    <row r="445" spans="1:8" ht="12.75" customHeight="1">
      <c r="A445" s="23">
        <v>43453</v>
      </c>
      <c r="B445" s="23"/>
      <c r="C445" s="29">
        <f>ROUND(7.058,3)</f>
        <v>7.058</v>
      </c>
      <c r="D445" s="29">
        <f>ROUND(6.63,3)</f>
        <v>6.63</v>
      </c>
      <c r="E445" s="29">
        <f>ROUND(6.53,3)</f>
        <v>6.53</v>
      </c>
      <c r="F445" s="29">
        <f>ROUND(6.58,3)</f>
        <v>6.58</v>
      </c>
      <c r="G445" s="25"/>
      <c r="H445" s="26"/>
    </row>
    <row r="446" spans="1:8" ht="12.75" customHeight="1">
      <c r="A446" s="23">
        <v>43544</v>
      </c>
      <c r="B446" s="23"/>
      <c r="C446" s="29">
        <f>ROUND(7.058,3)</f>
        <v>7.058</v>
      </c>
      <c r="D446" s="29">
        <f>ROUND(6.69,3)</f>
        <v>6.69</v>
      </c>
      <c r="E446" s="29">
        <f>ROUND(6.59,3)</f>
        <v>6.59</v>
      </c>
      <c r="F446" s="29">
        <f>ROUND(6.64,3)</f>
        <v>6.64</v>
      </c>
      <c r="G446" s="25"/>
      <c r="H446" s="26"/>
    </row>
    <row r="447" spans="1:8" ht="12.75" customHeight="1">
      <c r="A447" s="23">
        <v>43635</v>
      </c>
      <c r="B447" s="23"/>
      <c r="C447" s="29">
        <f>ROUND(7.058,3)</f>
        <v>7.058</v>
      </c>
      <c r="D447" s="29">
        <f>ROUND(6.76,3)</f>
        <v>6.76</v>
      </c>
      <c r="E447" s="29">
        <f>ROUND(6.66,3)</f>
        <v>6.66</v>
      </c>
      <c r="F447" s="29">
        <f>ROUND(6.71,3)</f>
        <v>6.71</v>
      </c>
      <c r="G447" s="25"/>
      <c r="H447" s="26"/>
    </row>
    <row r="448" spans="1:8" ht="12.75" customHeight="1">
      <c r="A448" s="23" t="s">
        <v>92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43041</v>
      </c>
      <c r="B449" s="23"/>
      <c r="C449" s="29">
        <f>ROUND(568.778,3)</f>
        <v>568.778</v>
      </c>
      <c r="D449" s="29">
        <f>F449</f>
        <v>577.45</v>
      </c>
      <c r="E449" s="29">
        <f>F449</f>
        <v>577.45</v>
      </c>
      <c r="F449" s="29">
        <f>ROUND(577.45,3)</f>
        <v>577.45</v>
      </c>
      <c r="G449" s="25"/>
      <c r="H449" s="26"/>
    </row>
    <row r="450" spans="1:8" ht="12.75" customHeight="1">
      <c r="A450" s="23">
        <v>43132</v>
      </c>
      <c r="B450" s="23"/>
      <c r="C450" s="29">
        <f>ROUND(568.778,3)</f>
        <v>568.778</v>
      </c>
      <c r="D450" s="29">
        <f>F450</f>
        <v>588.055</v>
      </c>
      <c r="E450" s="29">
        <f>F450</f>
        <v>588.055</v>
      </c>
      <c r="F450" s="29">
        <f>ROUND(588.055,3)</f>
        <v>588.055</v>
      </c>
      <c r="G450" s="25"/>
      <c r="H450" s="26"/>
    </row>
    <row r="451" spans="1:8" ht="12.75" customHeight="1">
      <c r="A451" s="23">
        <v>43223</v>
      </c>
      <c r="B451" s="23"/>
      <c r="C451" s="29">
        <f>ROUND(568.778,3)</f>
        <v>568.778</v>
      </c>
      <c r="D451" s="29">
        <f>F451</f>
        <v>599.082</v>
      </c>
      <c r="E451" s="29">
        <f>F451</f>
        <v>599.082</v>
      </c>
      <c r="F451" s="29">
        <f>ROUND(599.082,3)</f>
        <v>599.082</v>
      </c>
      <c r="G451" s="25"/>
      <c r="H451" s="26"/>
    </row>
    <row r="452" spans="1:8" ht="12.75" customHeight="1">
      <c r="A452" s="23">
        <v>43314</v>
      </c>
      <c r="B452" s="23"/>
      <c r="C452" s="29">
        <f>ROUND(568.778,3)</f>
        <v>568.778</v>
      </c>
      <c r="D452" s="29">
        <f>F452</f>
        <v>610.363</v>
      </c>
      <c r="E452" s="29">
        <f>F452</f>
        <v>610.363</v>
      </c>
      <c r="F452" s="29">
        <f>ROUND(610.363,3)</f>
        <v>610.363</v>
      </c>
      <c r="G452" s="25"/>
      <c r="H452" s="26"/>
    </row>
    <row r="453" spans="1:8" ht="12.75" customHeight="1">
      <c r="A453" s="23" t="s">
        <v>93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42999</v>
      </c>
      <c r="B454" s="23"/>
      <c r="C454" s="24">
        <f>ROUND(99.7840402631834,5)</f>
        <v>99.78404</v>
      </c>
      <c r="D454" s="24">
        <f>F454</f>
        <v>99.61251</v>
      </c>
      <c r="E454" s="24">
        <f>F454</f>
        <v>99.61251</v>
      </c>
      <c r="F454" s="24">
        <f>ROUND(99.6125090089372,5)</f>
        <v>99.61251</v>
      </c>
      <c r="G454" s="25"/>
      <c r="H454" s="26"/>
    </row>
    <row r="455" spans="1:8" ht="12.75" customHeight="1">
      <c r="A455" s="23" t="s">
        <v>94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43090</v>
      </c>
      <c r="B456" s="23"/>
      <c r="C456" s="24">
        <f>ROUND(99.7840402631834,5)</f>
        <v>99.78404</v>
      </c>
      <c r="D456" s="24">
        <f>F456</f>
        <v>99.76482</v>
      </c>
      <c r="E456" s="24">
        <f>F456</f>
        <v>99.76482</v>
      </c>
      <c r="F456" s="24">
        <f>ROUND(99.7648171186892,5)</f>
        <v>99.76482</v>
      </c>
      <c r="G456" s="25"/>
      <c r="H456" s="26"/>
    </row>
    <row r="457" spans="1:8" ht="12.75" customHeight="1">
      <c r="A457" s="23" t="s">
        <v>95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43174</v>
      </c>
      <c r="B458" s="23"/>
      <c r="C458" s="24">
        <f>ROUND(99.7840402631834,5)</f>
        <v>99.78404</v>
      </c>
      <c r="D458" s="24">
        <f>F458</f>
        <v>99.63415</v>
      </c>
      <c r="E458" s="24">
        <f>F458</f>
        <v>99.63415</v>
      </c>
      <c r="F458" s="24">
        <f>ROUND(99.6341505579668,5)</f>
        <v>99.63415</v>
      </c>
      <c r="G458" s="25"/>
      <c r="H458" s="26"/>
    </row>
    <row r="459" spans="1:8" ht="12.75" customHeight="1">
      <c r="A459" s="23" t="s">
        <v>96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43272</v>
      </c>
      <c r="B460" s="23"/>
      <c r="C460" s="24">
        <f>ROUND(99.7840402631834,5)</f>
        <v>99.78404</v>
      </c>
      <c r="D460" s="24">
        <f>F460</f>
        <v>99.70301</v>
      </c>
      <c r="E460" s="24">
        <f>F460</f>
        <v>99.70301</v>
      </c>
      <c r="F460" s="24">
        <f>ROUND(99.7030059653448,5)</f>
        <v>99.70301</v>
      </c>
      <c r="G460" s="25"/>
      <c r="H460" s="26"/>
    </row>
    <row r="461" spans="1:8" ht="12.75" customHeight="1">
      <c r="A461" s="23" t="s">
        <v>97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43363</v>
      </c>
      <c r="B462" s="23"/>
      <c r="C462" s="24">
        <f>ROUND(99.7840402631834,5)</f>
        <v>99.78404</v>
      </c>
      <c r="D462" s="24">
        <f>F462</f>
        <v>99.78404</v>
      </c>
      <c r="E462" s="24">
        <f>F462</f>
        <v>99.78404</v>
      </c>
      <c r="F462" s="24">
        <f>ROUND(99.7840402631834,5)</f>
        <v>99.78404</v>
      </c>
      <c r="G462" s="25"/>
      <c r="H462" s="26"/>
    </row>
    <row r="463" spans="1:8" ht="12.75" customHeight="1">
      <c r="A463" s="23" t="s">
        <v>98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43087</v>
      </c>
      <c r="B464" s="23"/>
      <c r="C464" s="24">
        <f>ROUND(99.4282589246212,5)</f>
        <v>99.42826</v>
      </c>
      <c r="D464" s="24">
        <f>F464</f>
        <v>99.79191</v>
      </c>
      <c r="E464" s="24">
        <f>F464</f>
        <v>99.79191</v>
      </c>
      <c r="F464" s="24">
        <f>ROUND(99.7919066584773,5)</f>
        <v>99.79191</v>
      </c>
      <c r="G464" s="25"/>
      <c r="H464" s="26"/>
    </row>
    <row r="465" spans="1:8" ht="12.75" customHeight="1">
      <c r="A465" s="23" t="s">
        <v>99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43175</v>
      </c>
      <c r="B466" s="23"/>
      <c r="C466" s="24">
        <f>ROUND(99.4282589246212,5)</f>
        <v>99.42826</v>
      </c>
      <c r="D466" s="24">
        <f>F466</f>
        <v>98.91439</v>
      </c>
      <c r="E466" s="24">
        <f>F466</f>
        <v>98.91439</v>
      </c>
      <c r="F466" s="24">
        <f>ROUND(98.9143888265072,5)</f>
        <v>98.91439</v>
      </c>
      <c r="G466" s="25"/>
      <c r="H466" s="26"/>
    </row>
    <row r="467" spans="1:8" ht="12.75" customHeight="1">
      <c r="A467" s="23" t="s">
        <v>100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43266</v>
      </c>
      <c r="B468" s="23"/>
      <c r="C468" s="24">
        <f>ROUND(99.4282589246212,5)</f>
        <v>99.42826</v>
      </c>
      <c r="D468" s="24">
        <f>F468</f>
        <v>98.39137</v>
      </c>
      <c r="E468" s="24">
        <f>F468</f>
        <v>98.39137</v>
      </c>
      <c r="F468" s="24">
        <f>ROUND(98.391365204418,5)</f>
        <v>98.39137</v>
      </c>
      <c r="G468" s="25"/>
      <c r="H468" s="26"/>
    </row>
    <row r="469" spans="1:8" ht="12.75" customHeight="1">
      <c r="A469" s="23" t="s">
        <v>101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43364</v>
      </c>
      <c r="B470" s="23"/>
      <c r="C470" s="24">
        <f>ROUND(99.4282589246212,5)</f>
        <v>99.42826</v>
      </c>
      <c r="D470" s="24">
        <f>F470</f>
        <v>98.25006</v>
      </c>
      <c r="E470" s="24">
        <f>F470</f>
        <v>98.25006</v>
      </c>
      <c r="F470" s="24">
        <f>ROUND(98.2500616011178,5)</f>
        <v>98.25006</v>
      </c>
      <c r="G470" s="25"/>
      <c r="H470" s="26"/>
    </row>
    <row r="471" spans="1:8" ht="12.75" customHeight="1">
      <c r="A471" s="23" t="s">
        <v>102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43455</v>
      </c>
      <c r="B472" s="23"/>
      <c r="C472" s="25">
        <f>ROUND(99.4282589246212,2)</f>
        <v>99.43</v>
      </c>
      <c r="D472" s="25">
        <f>F472</f>
        <v>98.52</v>
      </c>
      <c r="E472" s="25">
        <f>F472</f>
        <v>98.52</v>
      </c>
      <c r="F472" s="25">
        <f>ROUND(98.5226133357752,2)</f>
        <v>98.52</v>
      </c>
      <c r="G472" s="25"/>
      <c r="H472" s="26"/>
    </row>
    <row r="473" spans="1:8" ht="12.75" customHeight="1">
      <c r="A473" s="23" t="s">
        <v>103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43539</v>
      </c>
      <c r="B474" s="23"/>
      <c r="C474" s="24">
        <f>ROUND(99.4282589246212,5)</f>
        <v>99.42826</v>
      </c>
      <c r="D474" s="24">
        <f>F474</f>
        <v>98.81719</v>
      </c>
      <c r="E474" s="24">
        <f>F474</f>
        <v>98.81719</v>
      </c>
      <c r="F474" s="24">
        <f>ROUND(98.8171890662645,5)</f>
        <v>98.81719</v>
      </c>
      <c r="G474" s="25"/>
      <c r="H474" s="26"/>
    </row>
    <row r="475" spans="1:8" ht="12.75" customHeight="1">
      <c r="A475" s="23" t="s">
        <v>104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43637</v>
      </c>
      <c r="B476" s="23"/>
      <c r="C476" s="24">
        <f>ROUND(99.4282589246212,5)</f>
        <v>99.42826</v>
      </c>
      <c r="D476" s="24">
        <f>F476</f>
        <v>99.11223</v>
      </c>
      <c r="E476" s="24">
        <f>F476</f>
        <v>99.11223</v>
      </c>
      <c r="F476" s="24">
        <f>ROUND(99.1122310167572,5)</f>
        <v>99.11223</v>
      </c>
      <c r="G476" s="25"/>
      <c r="H476" s="26"/>
    </row>
    <row r="477" spans="1:8" ht="12.75" customHeight="1">
      <c r="A477" s="23" t="s">
        <v>105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43728</v>
      </c>
      <c r="B478" s="23"/>
      <c r="C478" s="24">
        <f>ROUND(99.4282589246212,5)</f>
        <v>99.42826</v>
      </c>
      <c r="D478" s="24">
        <f>F478</f>
        <v>99.42826</v>
      </c>
      <c r="E478" s="24">
        <f>F478</f>
        <v>99.42826</v>
      </c>
      <c r="F478" s="24">
        <f>ROUND(99.4282589246212,5)</f>
        <v>99.42826</v>
      </c>
      <c r="G478" s="25"/>
      <c r="H478" s="26"/>
    </row>
    <row r="479" spans="1:8" ht="12.75" customHeight="1">
      <c r="A479" s="23" t="s">
        <v>106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44182</v>
      </c>
      <c r="B480" s="23"/>
      <c r="C480" s="24">
        <f>ROUND(99.5068387537512,5)</f>
        <v>99.50684</v>
      </c>
      <c r="D480" s="24">
        <f>F480</f>
        <v>95.39321</v>
      </c>
      <c r="E480" s="24">
        <f>F480</f>
        <v>95.39321</v>
      </c>
      <c r="F480" s="24">
        <f>ROUND(95.393214522381,5)</f>
        <v>95.39321</v>
      </c>
      <c r="G480" s="25"/>
      <c r="H480" s="26"/>
    </row>
    <row r="481" spans="1:8" ht="12.75" customHeight="1">
      <c r="A481" s="23" t="s">
        <v>107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44271</v>
      </c>
      <c r="B482" s="23"/>
      <c r="C482" s="24">
        <f>ROUND(99.5068387537512,5)</f>
        <v>99.50684</v>
      </c>
      <c r="D482" s="24">
        <f>F482</f>
        <v>94.5831</v>
      </c>
      <c r="E482" s="24">
        <f>F482</f>
        <v>94.5831</v>
      </c>
      <c r="F482" s="24">
        <f>ROUND(94.5830982863816,5)</f>
        <v>94.5831</v>
      </c>
      <c r="G482" s="25"/>
      <c r="H482" s="26"/>
    </row>
    <row r="483" spans="1:8" ht="12.75" customHeight="1">
      <c r="A483" s="23" t="s">
        <v>108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44362</v>
      </c>
      <c r="B484" s="23"/>
      <c r="C484" s="24">
        <f>ROUND(99.5068387537512,5)</f>
        <v>99.50684</v>
      </c>
      <c r="D484" s="24">
        <f>F484</f>
        <v>93.74424</v>
      </c>
      <c r="E484" s="24">
        <f>F484</f>
        <v>93.74424</v>
      </c>
      <c r="F484" s="24">
        <f>ROUND(93.7442409191072,5)</f>
        <v>93.74424</v>
      </c>
      <c r="G484" s="25"/>
      <c r="H484" s="26"/>
    </row>
    <row r="485" spans="1:8" ht="12.75" customHeight="1">
      <c r="A485" s="23" t="s">
        <v>109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44460</v>
      </c>
      <c r="B486" s="23"/>
      <c r="C486" s="24">
        <f>ROUND(99.5068387537512,5)</f>
        <v>99.50684</v>
      </c>
      <c r="D486" s="24">
        <f>F486</f>
        <v>93.88846</v>
      </c>
      <c r="E486" s="24">
        <f>F486</f>
        <v>93.88846</v>
      </c>
      <c r="F486" s="24">
        <f>ROUND(93.888457502206,5)</f>
        <v>93.88846</v>
      </c>
      <c r="G486" s="25"/>
      <c r="H486" s="26"/>
    </row>
    <row r="487" spans="1:8" ht="12.75" customHeight="1">
      <c r="A487" s="23" t="s">
        <v>110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44551</v>
      </c>
      <c r="B488" s="23"/>
      <c r="C488" s="24">
        <f>ROUND(99.5068387537512,5)</f>
        <v>99.50684</v>
      </c>
      <c r="D488" s="24">
        <f>F488</f>
        <v>96.05043</v>
      </c>
      <c r="E488" s="24">
        <f>F488</f>
        <v>96.05043</v>
      </c>
      <c r="F488" s="24">
        <f>ROUND(96.0504310588924,5)</f>
        <v>96.05043</v>
      </c>
      <c r="G488" s="25"/>
      <c r="H488" s="26"/>
    </row>
    <row r="489" spans="1:8" ht="12.75" customHeight="1">
      <c r="A489" s="23" t="s">
        <v>111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44635</v>
      </c>
      <c r="B490" s="23"/>
      <c r="C490" s="24">
        <f>ROUND(99.5068387537512,5)</f>
        <v>99.50684</v>
      </c>
      <c r="D490" s="24">
        <f>F490</f>
        <v>96.14493</v>
      </c>
      <c r="E490" s="24">
        <f>F490</f>
        <v>96.14493</v>
      </c>
      <c r="F490" s="24">
        <f>ROUND(96.144934752798,5)</f>
        <v>96.14493</v>
      </c>
      <c r="G490" s="25"/>
      <c r="H490" s="26"/>
    </row>
    <row r="491" spans="1:8" ht="12.75" customHeight="1">
      <c r="A491" s="23" t="s">
        <v>112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44733</v>
      </c>
      <c r="B492" s="23"/>
      <c r="C492" s="24">
        <f>ROUND(99.5068387537512,5)</f>
        <v>99.50684</v>
      </c>
      <c r="D492" s="24">
        <f>F492</f>
        <v>97.31656</v>
      </c>
      <c r="E492" s="24">
        <f>F492</f>
        <v>97.31656</v>
      </c>
      <c r="F492" s="24">
        <f>ROUND(97.3165552016979,5)</f>
        <v>97.31656</v>
      </c>
      <c r="G492" s="25"/>
      <c r="H492" s="26"/>
    </row>
    <row r="493" spans="1:8" ht="12.75" customHeight="1">
      <c r="A493" s="23" t="s">
        <v>113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44824</v>
      </c>
      <c r="B494" s="23"/>
      <c r="C494" s="24">
        <f>ROUND(99.5068387537512,5)</f>
        <v>99.50684</v>
      </c>
      <c r="D494" s="24">
        <f>F494</f>
        <v>99.50684</v>
      </c>
      <c r="E494" s="24">
        <f>F494</f>
        <v>99.50684</v>
      </c>
      <c r="F494" s="24">
        <f>ROUND(99.5068387537512,5)</f>
        <v>99.50684</v>
      </c>
      <c r="G494" s="25"/>
      <c r="H494" s="26"/>
    </row>
    <row r="495" spans="1:8" ht="12.75" customHeight="1">
      <c r="A495" s="23" t="s">
        <v>114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46008</v>
      </c>
      <c r="B496" s="23"/>
      <c r="C496" s="24">
        <f>ROUND(100.095381155409,5)</f>
        <v>100.09538</v>
      </c>
      <c r="D496" s="24">
        <f>F496</f>
        <v>94.0769</v>
      </c>
      <c r="E496" s="24">
        <f>F496</f>
        <v>94.0769</v>
      </c>
      <c r="F496" s="24">
        <f>ROUND(94.0768954879091,5)</f>
        <v>94.0769</v>
      </c>
      <c r="G496" s="25"/>
      <c r="H496" s="26"/>
    </row>
    <row r="497" spans="1:8" ht="12.75" customHeight="1">
      <c r="A497" s="23" t="s">
        <v>115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46097</v>
      </c>
      <c r="B498" s="23"/>
      <c r="C498" s="24">
        <f>ROUND(100.095381155409,5)</f>
        <v>100.09538</v>
      </c>
      <c r="D498" s="24">
        <f>F498</f>
        <v>91.06898</v>
      </c>
      <c r="E498" s="24">
        <f>F498</f>
        <v>91.06898</v>
      </c>
      <c r="F498" s="24">
        <f>ROUND(91.0689793527109,5)</f>
        <v>91.06898</v>
      </c>
      <c r="G498" s="25"/>
      <c r="H498" s="26"/>
    </row>
    <row r="499" spans="1:8" ht="12.75" customHeight="1">
      <c r="A499" s="23" t="s">
        <v>116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46188</v>
      </c>
      <c r="B500" s="23"/>
      <c r="C500" s="24">
        <f>ROUND(100.095381155409,5)</f>
        <v>100.09538</v>
      </c>
      <c r="D500" s="24">
        <f>F500</f>
        <v>89.80631</v>
      </c>
      <c r="E500" s="24">
        <f>F500</f>
        <v>89.80631</v>
      </c>
      <c r="F500" s="24">
        <f>ROUND(89.8063088924732,5)</f>
        <v>89.80631</v>
      </c>
      <c r="G500" s="25"/>
      <c r="H500" s="26"/>
    </row>
    <row r="501" spans="1:8" ht="12.75" customHeight="1">
      <c r="A501" s="23" t="s">
        <v>117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46286</v>
      </c>
      <c r="B502" s="23"/>
      <c r="C502" s="24">
        <f>ROUND(100.095381155409,5)</f>
        <v>100.09538</v>
      </c>
      <c r="D502" s="24">
        <f>F502</f>
        <v>91.97296</v>
      </c>
      <c r="E502" s="24">
        <f>F502</f>
        <v>91.97296</v>
      </c>
      <c r="F502" s="24">
        <f>ROUND(91.9729584528086,5)</f>
        <v>91.97296</v>
      </c>
      <c r="G502" s="25"/>
      <c r="H502" s="26"/>
    </row>
    <row r="503" spans="1:8" ht="12.75" customHeight="1">
      <c r="A503" s="23" t="s">
        <v>118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46377</v>
      </c>
      <c r="B504" s="23"/>
      <c r="C504" s="24">
        <f>ROUND(100.095381155409,5)</f>
        <v>100.09538</v>
      </c>
      <c r="D504" s="24">
        <f>F504</f>
        <v>95.75772</v>
      </c>
      <c r="E504" s="24">
        <f>F504</f>
        <v>95.75772</v>
      </c>
      <c r="F504" s="24">
        <f>ROUND(95.757717600059,5)</f>
        <v>95.75772</v>
      </c>
      <c r="G504" s="25"/>
      <c r="H504" s="26"/>
    </row>
    <row r="505" spans="1:8" ht="12.75" customHeight="1">
      <c r="A505" s="23" t="s">
        <v>119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46461</v>
      </c>
      <c r="B506" s="23"/>
      <c r="C506" s="24">
        <f>ROUND(100.095381155409,5)</f>
        <v>100.09538</v>
      </c>
      <c r="D506" s="24">
        <f>F506</f>
        <v>94.29653</v>
      </c>
      <c r="E506" s="24">
        <f>F506</f>
        <v>94.29653</v>
      </c>
      <c r="F506" s="24">
        <f>ROUND(94.2965273115907,5)</f>
        <v>94.29653</v>
      </c>
      <c r="G506" s="25"/>
      <c r="H506" s="26"/>
    </row>
    <row r="507" spans="1:8" ht="12.75" customHeight="1">
      <c r="A507" s="23" t="s">
        <v>120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46559</v>
      </c>
      <c r="B508" s="23"/>
      <c r="C508" s="24">
        <f>ROUND(100.095381155409,5)</f>
        <v>100.09538</v>
      </c>
      <c r="D508" s="24">
        <f>F508</f>
        <v>96.36509</v>
      </c>
      <c r="E508" s="24">
        <f>F508</f>
        <v>96.36509</v>
      </c>
      <c r="F508" s="24">
        <f>ROUND(96.3650905445817,5)</f>
        <v>96.36509</v>
      </c>
      <c r="G508" s="25"/>
      <c r="H508" s="26"/>
    </row>
    <row r="509" spans="1:8" ht="12.75" customHeight="1">
      <c r="A509" s="23" t="s">
        <v>121</v>
      </c>
      <c r="B509" s="23"/>
      <c r="C509" s="27"/>
      <c r="D509" s="27"/>
      <c r="E509" s="27"/>
      <c r="F509" s="27"/>
      <c r="G509" s="25"/>
      <c r="H509" s="26"/>
    </row>
    <row r="510" spans="1:8" ht="12.75" customHeight="1" thickBot="1">
      <c r="A510" s="31">
        <v>46650</v>
      </c>
      <c r="B510" s="31"/>
      <c r="C510" s="32">
        <f>ROUND(100.095381155409,5)</f>
        <v>100.09538</v>
      </c>
      <c r="D510" s="32">
        <f>F510</f>
        <v>100.09538</v>
      </c>
      <c r="E510" s="32">
        <f>F510</f>
        <v>100.09538</v>
      </c>
      <c r="F510" s="32">
        <f>ROUND(100.095381155409,5)</f>
        <v>100.09538</v>
      </c>
      <c r="G510" s="33"/>
      <c r="H510" s="34"/>
    </row>
  </sheetData>
  <sheetProtection/>
  <mergeCells count="509">
    <mergeCell ref="A508:B508"/>
    <mergeCell ref="A509:B509"/>
    <mergeCell ref="A510:B510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2017-08-18T16:34:53Z</dcterms:modified>
  <cp:category/>
  <cp:version/>
  <cp:contentType/>
  <cp:contentStatus/>
</cp:coreProperties>
</file>