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'Jerry'!$A$1:$H$549</definedName>
  </definedNames>
  <calcPr fullCalcOnLoad="1"/>
</workbook>
</file>

<file path=xl/sharedStrings.xml><?xml version="1.0" encoding="utf-8"?>
<sst xmlns="http://schemas.openxmlformats.org/spreadsheetml/2006/main" count="120" uniqueCount="120">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</sst>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8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43040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ROUND(2.57,5)</f>
        <v>2.57</v>
      </c>
      <c r="D6" s="26">
        <f>F6</f>
        <v>2.57</v>
      </c>
      <c r="E6" s="26">
        <f>F6</f>
        <v>2.57</v>
      </c>
      <c r="F6" s="26">
        <f>ROUND(2.57,5)</f>
        <v>2.57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ROUND(2.62,5)</f>
        <v>2.62</v>
      </c>
      <c r="D8" s="26">
        <f>F8</f>
        <v>2.62</v>
      </c>
      <c r="E8" s="26">
        <f>F8</f>
        <v>2.62</v>
      </c>
      <c r="F8" s="26">
        <f>ROUND(2.62,5)</f>
        <v>2.62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ROUND(2.67,5)</f>
        <v>2.67</v>
      </c>
      <c r="D10" s="26">
        <f>F10</f>
        <v>2.67</v>
      </c>
      <c r="E10" s="26">
        <f>F10</f>
        <v>2.67</v>
      </c>
      <c r="F10" s="26">
        <f>ROUND(2.67,5)</f>
        <v>2.67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ROUND(3.295,5)</f>
        <v>3.295</v>
      </c>
      <c r="D12" s="26">
        <f>F12</f>
        <v>3.295</v>
      </c>
      <c r="E12" s="26">
        <f>F12</f>
        <v>3.295</v>
      </c>
      <c r="F12" s="26">
        <f>ROUND(3.295,5)</f>
        <v>3.295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ROUND(11.015,5)</f>
        <v>11.015</v>
      </c>
      <c r="D14" s="26">
        <f>F14</f>
        <v>11.015</v>
      </c>
      <c r="E14" s="26">
        <f>F14</f>
        <v>11.015</v>
      </c>
      <c r="F14" s="26">
        <f>ROUND(11.015,5)</f>
        <v>11.015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ROUND(8.31,5)</f>
        <v>8.31</v>
      </c>
      <c r="D16" s="26">
        <f>F16</f>
        <v>8.31</v>
      </c>
      <c r="E16" s="26">
        <f>F16</f>
        <v>8.31</v>
      </c>
      <c r="F16" s="26">
        <f>ROUND(8.31,5)</f>
        <v>8.31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ROUND(9.01,3)</f>
        <v>9.01</v>
      </c>
      <c r="D18" s="27">
        <f>F18</f>
        <v>9.01</v>
      </c>
      <c r="E18" s="27">
        <f>F18</f>
        <v>9.01</v>
      </c>
      <c r="F18" s="27">
        <f>ROUND(9.01,3)</f>
        <v>9.01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ROUND(2.47,3)</f>
        <v>2.47</v>
      </c>
      <c r="D20" s="27">
        <f>F20</f>
        <v>2.47</v>
      </c>
      <c r="E20" s="27">
        <f>F20</f>
        <v>2.47</v>
      </c>
      <c r="F20" s="27">
        <f>ROUND(2.47,3)</f>
        <v>2.47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ROUND(2.61,3)</f>
        <v>2.61</v>
      </c>
      <c r="D22" s="27">
        <f>F22</f>
        <v>2.61</v>
      </c>
      <c r="E22" s="27">
        <f>F22</f>
        <v>2.61</v>
      </c>
      <c r="F22" s="27">
        <f>ROUND(2.61,3)</f>
        <v>2.61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43455</v>
      </c>
      <c r="B24" s="22"/>
      <c r="C24" s="27">
        <f>ROUND(7.29,3)</f>
        <v>7.29</v>
      </c>
      <c r="D24" s="27">
        <f>F24</f>
        <v>7.29</v>
      </c>
      <c r="E24" s="27">
        <f>F24</f>
        <v>7.29</v>
      </c>
      <c r="F24" s="27">
        <f>ROUND(7.29,3)</f>
        <v>7.29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43845</v>
      </c>
      <c r="B26" s="22"/>
      <c r="C26" s="27">
        <f>ROUND(7.715,3)</f>
        <v>7.715</v>
      </c>
      <c r="D26" s="27">
        <f>F26</f>
        <v>7.715</v>
      </c>
      <c r="E26" s="27">
        <f>F26</f>
        <v>7.715</v>
      </c>
      <c r="F26" s="27">
        <f>ROUND(7.715,3)</f>
        <v>7.715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44286</v>
      </c>
      <c r="B28" s="22"/>
      <c r="C28" s="27">
        <f>ROUND(7.96,3)</f>
        <v>7.96</v>
      </c>
      <c r="D28" s="27">
        <f>F28</f>
        <v>7.96</v>
      </c>
      <c r="E28" s="27">
        <f>F28</f>
        <v>7.96</v>
      </c>
      <c r="F28" s="27">
        <f>ROUND(7.96,3)</f>
        <v>7.96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49765</v>
      </c>
      <c r="B30" s="22"/>
      <c r="C30" s="27">
        <f>ROUND(9.81,3)</f>
        <v>9.81</v>
      </c>
      <c r="D30" s="27">
        <f>F30</f>
        <v>9.81</v>
      </c>
      <c r="E30" s="27">
        <f>F30</f>
        <v>9.81</v>
      </c>
      <c r="F30" s="27">
        <f>ROUND(9.81,3)</f>
        <v>9.81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ROUND(2.575,3)</f>
        <v>2.575</v>
      </c>
      <c r="D32" s="27">
        <f>F32</f>
        <v>2.575</v>
      </c>
      <c r="E32" s="27">
        <f>F32</f>
        <v>2.575</v>
      </c>
      <c r="F32" s="27">
        <f>ROUND(2.575,3)</f>
        <v>2.575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44592</v>
      </c>
      <c r="B34" s="22"/>
      <c r="C34" s="27">
        <f>ROUND(2.45,3)</f>
        <v>2.45</v>
      </c>
      <c r="D34" s="27">
        <f>F34</f>
        <v>2.45</v>
      </c>
      <c r="E34" s="27">
        <f>F34</f>
        <v>2.45</v>
      </c>
      <c r="F34" s="27">
        <f>ROUND(2.45,3)</f>
        <v>2.45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ROUND(9.605,3)</f>
        <v>9.605</v>
      </c>
      <c r="D36" s="27">
        <f>F36</f>
        <v>9.605</v>
      </c>
      <c r="E36" s="27">
        <f>F36</f>
        <v>9.605</v>
      </c>
      <c r="F36" s="27">
        <f>ROUND(9.605,3)</f>
        <v>9.605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43041</v>
      </c>
      <c r="B38" s="22"/>
      <c r="C38" s="26">
        <f>ROUND(2.57,5)</f>
        <v>2.57</v>
      </c>
      <c r="D38" s="26">
        <f>F38</f>
        <v>128.72063</v>
      </c>
      <c r="E38" s="26">
        <f>F38</f>
        <v>128.72063</v>
      </c>
      <c r="F38" s="26">
        <f>ROUND(128.72063,5)</f>
        <v>128.72063</v>
      </c>
      <c r="G38" s="24"/>
      <c r="H38" s="36"/>
    </row>
    <row r="39" spans="1:8" ht="12.75" customHeight="1">
      <c r="A39" s="22">
        <v>43132</v>
      </c>
      <c r="B39" s="22"/>
      <c r="C39" s="26">
        <f>ROUND(2.57,5)</f>
        <v>2.57</v>
      </c>
      <c r="D39" s="26">
        <f>F39</f>
        <v>129.77626</v>
      </c>
      <c r="E39" s="26">
        <f>F39</f>
        <v>129.77626</v>
      </c>
      <c r="F39" s="26">
        <f>ROUND(129.77626,5)</f>
        <v>129.77626</v>
      </c>
      <c r="G39" s="24"/>
      <c r="H39" s="36"/>
    </row>
    <row r="40" spans="1:8" ht="12.75" customHeight="1">
      <c r="A40" s="22">
        <v>43223</v>
      </c>
      <c r="B40" s="22"/>
      <c r="C40" s="26">
        <f>ROUND(2.57,5)</f>
        <v>2.57</v>
      </c>
      <c r="D40" s="26">
        <f>F40</f>
        <v>132.22269</v>
      </c>
      <c r="E40" s="26">
        <f>F40</f>
        <v>132.22269</v>
      </c>
      <c r="F40" s="26">
        <f>ROUND(132.22269,5)</f>
        <v>132.22269</v>
      </c>
      <c r="G40" s="24"/>
      <c r="H40" s="36"/>
    </row>
    <row r="41" spans="1:8" ht="12.75" customHeight="1">
      <c r="A41" s="22">
        <v>43314</v>
      </c>
      <c r="B41" s="22"/>
      <c r="C41" s="26">
        <f>ROUND(2.57,5)</f>
        <v>2.57</v>
      </c>
      <c r="D41" s="26">
        <f>F41</f>
        <v>134.70167</v>
      </c>
      <c r="E41" s="26">
        <f>F41</f>
        <v>134.70167</v>
      </c>
      <c r="F41" s="26">
        <f>ROUND(134.70167,5)</f>
        <v>134.70167</v>
      </c>
      <c r="G41" s="24"/>
      <c r="H41" s="36"/>
    </row>
    <row r="42" spans="1:8" ht="12.75" customHeight="1">
      <c r="A42" s="22">
        <v>43405</v>
      </c>
      <c r="B42" s="22"/>
      <c r="C42" s="26">
        <f>ROUND(2.57,5)</f>
        <v>2.57</v>
      </c>
      <c r="D42" s="26">
        <f>F42</f>
        <v>137.23664</v>
      </c>
      <c r="E42" s="26">
        <f>F42</f>
        <v>137.23664</v>
      </c>
      <c r="F42" s="26">
        <f>ROUND(137.23664,5)</f>
        <v>137.23664</v>
      </c>
      <c r="G42" s="24"/>
      <c r="H42" s="36"/>
    </row>
    <row r="43" spans="1:8" ht="12.75" customHeight="1">
      <c r="A43" s="22" t="s">
        <v>29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43041</v>
      </c>
      <c r="B44" s="22"/>
      <c r="C44" s="26">
        <f>ROUND(98.67775,5)</f>
        <v>98.67775</v>
      </c>
      <c r="D44" s="26">
        <f>F44</f>
        <v>98.6973</v>
      </c>
      <c r="E44" s="26">
        <f>F44</f>
        <v>98.6973</v>
      </c>
      <c r="F44" s="26">
        <f>ROUND(98.6973,5)</f>
        <v>98.6973</v>
      </c>
      <c r="G44" s="24"/>
      <c r="H44" s="36"/>
    </row>
    <row r="45" spans="1:8" ht="12.75" customHeight="1">
      <c r="A45" s="22">
        <v>43132</v>
      </c>
      <c r="B45" s="22"/>
      <c r="C45" s="26">
        <f>ROUND(98.67775,5)</f>
        <v>98.67775</v>
      </c>
      <c r="D45" s="26">
        <f>F45</f>
        <v>100.53512</v>
      </c>
      <c r="E45" s="26">
        <f>F45</f>
        <v>100.53512</v>
      </c>
      <c r="F45" s="26">
        <f>ROUND(100.53512,5)</f>
        <v>100.53512</v>
      </c>
      <c r="G45" s="24"/>
      <c r="H45" s="36"/>
    </row>
    <row r="46" spans="1:8" ht="12.75" customHeight="1">
      <c r="A46" s="22">
        <v>43223</v>
      </c>
      <c r="B46" s="22"/>
      <c r="C46" s="26">
        <f>ROUND(98.67775,5)</f>
        <v>98.67775</v>
      </c>
      <c r="D46" s="26">
        <f>F46</f>
        <v>101.4122</v>
      </c>
      <c r="E46" s="26">
        <f>F46</f>
        <v>101.4122</v>
      </c>
      <c r="F46" s="26">
        <f>ROUND(101.4122,5)</f>
        <v>101.4122</v>
      </c>
      <c r="G46" s="24"/>
      <c r="H46" s="36"/>
    </row>
    <row r="47" spans="1:8" ht="12.75" customHeight="1">
      <c r="A47" s="22">
        <v>43314</v>
      </c>
      <c r="B47" s="22"/>
      <c r="C47" s="26">
        <f>ROUND(98.67775,5)</f>
        <v>98.67775</v>
      </c>
      <c r="D47" s="26">
        <f>F47</f>
        <v>103.34761</v>
      </c>
      <c r="E47" s="26">
        <f>F47</f>
        <v>103.34761</v>
      </c>
      <c r="F47" s="26">
        <f>ROUND(103.34761,5)</f>
        <v>103.34761</v>
      </c>
      <c r="G47" s="24"/>
      <c r="H47" s="36"/>
    </row>
    <row r="48" spans="1:8" ht="12.75" customHeight="1">
      <c r="A48" s="22">
        <v>43405</v>
      </c>
      <c r="B48" s="22"/>
      <c r="C48" s="26">
        <f>ROUND(98.67775,5)</f>
        <v>98.67775</v>
      </c>
      <c r="D48" s="26">
        <f>F48</f>
        <v>105.29242</v>
      </c>
      <c r="E48" s="26">
        <f>F48</f>
        <v>105.29242</v>
      </c>
      <c r="F48" s="26">
        <f>ROUND(105.29242,5)</f>
        <v>105.29242</v>
      </c>
      <c r="G48" s="24"/>
      <c r="H48" s="36"/>
    </row>
    <row r="49" spans="1:8" ht="12.75" customHeight="1">
      <c r="A49" s="22" t="s">
        <v>30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43041</v>
      </c>
      <c r="B50" s="22"/>
      <c r="C50" s="26">
        <f>ROUND(9.515,5)</f>
        <v>9.515</v>
      </c>
      <c r="D50" s="26">
        <f>F50</f>
        <v>9.51576</v>
      </c>
      <c r="E50" s="26">
        <f>F50</f>
        <v>9.51576</v>
      </c>
      <c r="F50" s="26">
        <f>ROUND(9.51576,5)</f>
        <v>9.51576</v>
      </c>
      <c r="G50" s="24"/>
      <c r="H50" s="36"/>
    </row>
    <row r="51" spans="1:8" ht="12.75" customHeight="1">
      <c r="A51" s="22">
        <v>43132</v>
      </c>
      <c r="B51" s="22"/>
      <c r="C51" s="26">
        <f>ROUND(9.515,5)</f>
        <v>9.515</v>
      </c>
      <c r="D51" s="26">
        <f>F51</f>
        <v>9.58487</v>
      </c>
      <c r="E51" s="26">
        <f>F51</f>
        <v>9.58487</v>
      </c>
      <c r="F51" s="26">
        <f>ROUND(9.58487,5)</f>
        <v>9.58487</v>
      </c>
      <c r="G51" s="24"/>
      <c r="H51" s="36"/>
    </row>
    <row r="52" spans="1:8" ht="12.75" customHeight="1">
      <c r="A52" s="22">
        <v>43223</v>
      </c>
      <c r="B52" s="22"/>
      <c r="C52" s="26">
        <f>ROUND(9.515,5)</f>
        <v>9.515</v>
      </c>
      <c r="D52" s="26">
        <f>F52</f>
        <v>9.65858</v>
      </c>
      <c r="E52" s="26">
        <f>F52</f>
        <v>9.65858</v>
      </c>
      <c r="F52" s="26">
        <f>ROUND(9.65858,5)</f>
        <v>9.65858</v>
      </c>
      <c r="G52" s="24"/>
      <c r="H52" s="36"/>
    </row>
    <row r="53" spans="1:8" ht="12.75" customHeight="1">
      <c r="A53" s="22">
        <v>43314</v>
      </c>
      <c r="B53" s="22"/>
      <c r="C53" s="26">
        <f>ROUND(9.515,5)</f>
        <v>9.515</v>
      </c>
      <c r="D53" s="26">
        <f>F53</f>
        <v>9.73521</v>
      </c>
      <c r="E53" s="26">
        <f>F53</f>
        <v>9.73521</v>
      </c>
      <c r="F53" s="26">
        <f>ROUND(9.73521,5)</f>
        <v>9.73521</v>
      </c>
      <c r="G53" s="24"/>
      <c r="H53" s="36"/>
    </row>
    <row r="54" spans="1:8" ht="12.75" customHeight="1">
      <c r="A54" s="22">
        <v>43405</v>
      </c>
      <c r="B54" s="22"/>
      <c r="C54" s="26">
        <f>ROUND(9.515,5)</f>
        <v>9.515</v>
      </c>
      <c r="D54" s="26">
        <f>F54</f>
        <v>9.80105</v>
      </c>
      <c r="E54" s="26">
        <f>F54</f>
        <v>9.80105</v>
      </c>
      <c r="F54" s="26">
        <f>ROUND(9.80105,5)</f>
        <v>9.80105</v>
      </c>
      <c r="G54" s="24"/>
      <c r="H54" s="36"/>
    </row>
    <row r="55" spans="1:8" ht="12.75" customHeight="1">
      <c r="A55" s="22" t="s">
        <v>31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43041</v>
      </c>
      <c r="B56" s="22"/>
      <c r="C56" s="26">
        <f>ROUND(9.715,5)</f>
        <v>9.715</v>
      </c>
      <c r="D56" s="26">
        <f>F56</f>
        <v>9.71581</v>
      </c>
      <c r="E56" s="26">
        <f>F56</f>
        <v>9.71581</v>
      </c>
      <c r="F56" s="26">
        <f>ROUND(9.71581,5)</f>
        <v>9.71581</v>
      </c>
      <c r="G56" s="24"/>
      <c r="H56" s="36"/>
    </row>
    <row r="57" spans="1:8" ht="12.75" customHeight="1">
      <c r="A57" s="22">
        <v>43132</v>
      </c>
      <c r="B57" s="22"/>
      <c r="C57" s="26">
        <f>ROUND(9.715,5)</f>
        <v>9.715</v>
      </c>
      <c r="D57" s="26">
        <f>F57</f>
        <v>9.78871</v>
      </c>
      <c r="E57" s="26">
        <f>F57</f>
        <v>9.78871</v>
      </c>
      <c r="F57" s="26">
        <f>ROUND(9.78871,5)</f>
        <v>9.78871</v>
      </c>
      <c r="G57" s="24"/>
      <c r="H57" s="36"/>
    </row>
    <row r="58" spans="1:8" ht="12.75" customHeight="1">
      <c r="A58" s="22">
        <v>43223</v>
      </c>
      <c r="B58" s="22"/>
      <c r="C58" s="26">
        <f>ROUND(9.715,5)</f>
        <v>9.715</v>
      </c>
      <c r="D58" s="26">
        <f>F58</f>
        <v>9.86205</v>
      </c>
      <c r="E58" s="26">
        <f>F58</f>
        <v>9.86205</v>
      </c>
      <c r="F58" s="26">
        <f>ROUND(9.86205,5)</f>
        <v>9.86205</v>
      </c>
      <c r="G58" s="24"/>
      <c r="H58" s="36"/>
    </row>
    <row r="59" spans="1:8" ht="12.75" customHeight="1">
      <c r="A59" s="22">
        <v>43314</v>
      </c>
      <c r="B59" s="22"/>
      <c r="C59" s="26">
        <f>ROUND(9.715,5)</f>
        <v>9.715</v>
      </c>
      <c r="D59" s="26">
        <f>F59</f>
        <v>9.93563</v>
      </c>
      <c r="E59" s="26">
        <f>F59</f>
        <v>9.93563</v>
      </c>
      <c r="F59" s="26">
        <f>ROUND(9.93563,5)</f>
        <v>9.93563</v>
      </c>
      <c r="G59" s="24"/>
      <c r="H59" s="36"/>
    </row>
    <row r="60" spans="1:8" ht="12.75" customHeight="1">
      <c r="A60" s="22">
        <v>43405</v>
      </c>
      <c r="B60" s="22"/>
      <c r="C60" s="26">
        <f>ROUND(9.715,5)</f>
        <v>9.715</v>
      </c>
      <c r="D60" s="26">
        <f>F60</f>
        <v>10.00617</v>
      </c>
      <c r="E60" s="26">
        <f>F60</f>
        <v>10.00617</v>
      </c>
      <c r="F60" s="26">
        <f>ROUND(10.00617,5)</f>
        <v>10.00617</v>
      </c>
      <c r="G60" s="24"/>
      <c r="H60" s="36"/>
    </row>
    <row r="61" spans="1:8" ht="12.75" customHeight="1">
      <c r="A61" s="22" t="s">
        <v>32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43041</v>
      </c>
      <c r="B62" s="22"/>
      <c r="C62" s="26">
        <f>ROUND(102.80977,5)</f>
        <v>102.80977</v>
      </c>
      <c r="D62" s="26">
        <f>F62</f>
        <v>102.83006</v>
      </c>
      <c r="E62" s="26">
        <f>F62</f>
        <v>102.83006</v>
      </c>
      <c r="F62" s="26">
        <f>ROUND(102.83006,5)</f>
        <v>102.83006</v>
      </c>
      <c r="G62" s="24"/>
      <c r="H62" s="36"/>
    </row>
    <row r="63" spans="1:8" ht="12.75" customHeight="1">
      <c r="A63" s="22">
        <v>43132</v>
      </c>
      <c r="B63" s="22"/>
      <c r="C63" s="26">
        <f>ROUND(102.80977,5)</f>
        <v>102.80977</v>
      </c>
      <c r="D63" s="26">
        <f>F63</f>
        <v>104.74489</v>
      </c>
      <c r="E63" s="26">
        <f>F63</f>
        <v>104.74489</v>
      </c>
      <c r="F63" s="26">
        <f>ROUND(104.74489,5)</f>
        <v>104.74489</v>
      </c>
      <c r="G63" s="24"/>
      <c r="H63" s="36"/>
    </row>
    <row r="64" spans="1:8" ht="12.75" customHeight="1">
      <c r="A64" s="22">
        <v>43223</v>
      </c>
      <c r="B64" s="22"/>
      <c r="C64" s="26">
        <f>ROUND(102.80977,5)</f>
        <v>102.80977</v>
      </c>
      <c r="D64" s="26">
        <f>F64</f>
        <v>105.63081</v>
      </c>
      <c r="E64" s="26">
        <f>F64</f>
        <v>105.63081</v>
      </c>
      <c r="F64" s="26">
        <f>ROUND(105.63081,5)</f>
        <v>105.63081</v>
      </c>
      <c r="G64" s="24"/>
      <c r="H64" s="36"/>
    </row>
    <row r="65" spans="1:8" ht="12.75" customHeight="1">
      <c r="A65" s="22">
        <v>43314</v>
      </c>
      <c r="B65" s="22"/>
      <c r="C65" s="26">
        <f>ROUND(102.80977,5)</f>
        <v>102.80977</v>
      </c>
      <c r="D65" s="26">
        <f>F65</f>
        <v>107.64672</v>
      </c>
      <c r="E65" s="26">
        <f>F65</f>
        <v>107.64672</v>
      </c>
      <c r="F65" s="26">
        <f>ROUND(107.64672,5)</f>
        <v>107.64672</v>
      </c>
      <c r="G65" s="24"/>
      <c r="H65" s="36"/>
    </row>
    <row r="66" spans="1:8" ht="12.75" customHeight="1">
      <c r="A66" s="22">
        <v>43405</v>
      </c>
      <c r="B66" s="22"/>
      <c r="C66" s="26">
        <f>ROUND(102.80977,5)</f>
        <v>102.80977</v>
      </c>
      <c r="D66" s="26">
        <f>F66</f>
        <v>109.6725</v>
      </c>
      <c r="E66" s="26">
        <f>F66</f>
        <v>109.6725</v>
      </c>
      <c r="F66" s="26">
        <f>ROUND(109.6725,5)</f>
        <v>109.6725</v>
      </c>
      <c r="G66" s="24"/>
      <c r="H66" s="36"/>
    </row>
    <row r="67" spans="1:8" ht="12.75" customHeight="1">
      <c r="A67" s="22" t="s">
        <v>33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43041</v>
      </c>
      <c r="B68" s="22"/>
      <c r="C68" s="26">
        <f>ROUND(9.93,5)</f>
        <v>9.93</v>
      </c>
      <c r="D68" s="26">
        <f>F68</f>
        <v>9.93078</v>
      </c>
      <c r="E68" s="26">
        <f>F68</f>
        <v>9.93078</v>
      </c>
      <c r="F68" s="26">
        <f>ROUND(9.93078,5)</f>
        <v>9.93078</v>
      </c>
      <c r="G68" s="24"/>
      <c r="H68" s="36"/>
    </row>
    <row r="69" spans="1:8" ht="12.75" customHeight="1">
      <c r="A69" s="22">
        <v>43132</v>
      </c>
      <c r="B69" s="22"/>
      <c r="C69" s="26">
        <f>ROUND(9.93,5)</f>
        <v>9.93</v>
      </c>
      <c r="D69" s="26">
        <f>F69</f>
        <v>10.00077</v>
      </c>
      <c r="E69" s="26">
        <f>F69</f>
        <v>10.00077</v>
      </c>
      <c r="F69" s="26">
        <f>ROUND(10.00077,5)</f>
        <v>10.00077</v>
      </c>
      <c r="G69" s="24"/>
      <c r="H69" s="36"/>
    </row>
    <row r="70" spans="1:8" ht="12.75" customHeight="1">
      <c r="A70" s="22">
        <v>43223</v>
      </c>
      <c r="B70" s="22"/>
      <c r="C70" s="26">
        <f>ROUND(9.93,5)</f>
        <v>9.93</v>
      </c>
      <c r="D70" s="26">
        <f>F70</f>
        <v>10.07425</v>
      </c>
      <c r="E70" s="26">
        <f>F70</f>
        <v>10.07425</v>
      </c>
      <c r="F70" s="26">
        <f>ROUND(10.07425,5)</f>
        <v>10.07425</v>
      </c>
      <c r="G70" s="24"/>
      <c r="H70" s="36"/>
    </row>
    <row r="71" spans="1:8" ht="12.75" customHeight="1">
      <c r="A71" s="22">
        <v>43314</v>
      </c>
      <c r="B71" s="22"/>
      <c r="C71" s="26">
        <f>ROUND(9.93,5)</f>
        <v>9.93</v>
      </c>
      <c r="D71" s="26">
        <f>F71</f>
        <v>10.15023</v>
      </c>
      <c r="E71" s="26">
        <f>F71</f>
        <v>10.15023</v>
      </c>
      <c r="F71" s="26">
        <f>ROUND(10.15023,5)</f>
        <v>10.15023</v>
      </c>
      <c r="G71" s="24"/>
      <c r="H71" s="36"/>
    </row>
    <row r="72" spans="1:8" ht="12.75" customHeight="1">
      <c r="A72" s="22">
        <v>43405</v>
      </c>
      <c r="B72" s="22"/>
      <c r="C72" s="26">
        <f>ROUND(9.93,5)</f>
        <v>9.93</v>
      </c>
      <c r="D72" s="26">
        <f>F72</f>
        <v>10.21643</v>
      </c>
      <c r="E72" s="26">
        <f>F72</f>
        <v>10.21643</v>
      </c>
      <c r="F72" s="26">
        <f>ROUND(10.21643,5)</f>
        <v>10.21643</v>
      </c>
      <c r="G72" s="24"/>
      <c r="H72" s="36"/>
    </row>
    <row r="73" spans="1:8" ht="12.75" customHeight="1">
      <c r="A73" s="22" t="s">
        <v>34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43041</v>
      </c>
      <c r="B74" s="22"/>
      <c r="C74" s="26">
        <f>ROUND(2.62,5)</f>
        <v>2.62</v>
      </c>
      <c r="D74" s="26">
        <f>F74</f>
        <v>126.09407</v>
      </c>
      <c r="E74" s="26">
        <f>F74</f>
        <v>126.09407</v>
      </c>
      <c r="F74" s="26">
        <f>ROUND(126.09407,5)</f>
        <v>126.09407</v>
      </c>
      <c r="G74" s="24"/>
      <c r="H74" s="36"/>
    </row>
    <row r="75" spans="1:8" ht="12.75" customHeight="1">
      <c r="A75" s="22">
        <v>43132</v>
      </c>
      <c r="B75" s="22"/>
      <c r="C75" s="26">
        <f>ROUND(2.62,5)</f>
        <v>2.62</v>
      </c>
      <c r="D75" s="26">
        <f>F75</f>
        <v>126.93314</v>
      </c>
      <c r="E75" s="26">
        <f>F75</f>
        <v>126.93314</v>
      </c>
      <c r="F75" s="26">
        <f>ROUND(126.93314,5)</f>
        <v>126.93314</v>
      </c>
      <c r="G75" s="24"/>
      <c r="H75" s="36"/>
    </row>
    <row r="76" spans="1:8" ht="12.75" customHeight="1">
      <c r="A76" s="22">
        <v>43223</v>
      </c>
      <c r="B76" s="22"/>
      <c r="C76" s="26">
        <f>ROUND(2.62,5)</f>
        <v>2.62</v>
      </c>
      <c r="D76" s="26">
        <f>F76</f>
        <v>129.32601</v>
      </c>
      <c r="E76" s="26">
        <f>F76</f>
        <v>129.32601</v>
      </c>
      <c r="F76" s="26">
        <f>ROUND(129.32601,5)</f>
        <v>129.32601</v>
      </c>
      <c r="G76" s="24"/>
      <c r="H76" s="36"/>
    </row>
    <row r="77" spans="1:8" ht="12.75" customHeight="1">
      <c r="A77" s="22">
        <v>43314</v>
      </c>
      <c r="B77" s="22"/>
      <c r="C77" s="26">
        <f>ROUND(2.62,5)</f>
        <v>2.62</v>
      </c>
      <c r="D77" s="26">
        <f>F77</f>
        <v>131.74411</v>
      </c>
      <c r="E77" s="26">
        <f>F77</f>
        <v>131.74411</v>
      </c>
      <c r="F77" s="26">
        <f>ROUND(131.74411,5)</f>
        <v>131.74411</v>
      </c>
      <c r="G77" s="24"/>
      <c r="H77" s="36"/>
    </row>
    <row r="78" spans="1:8" ht="12.75" customHeight="1">
      <c r="A78" s="22">
        <v>43405</v>
      </c>
      <c r="B78" s="22"/>
      <c r="C78" s="26">
        <f>ROUND(2.62,5)</f>
        <v>2.62</v>
      </c>
      <c r="D78" s="26">
        <f>F78</f>
        <v>134.22339</v>
      </c>
      <c r="E78" s="26">
        <f>F78</f>
        <v>134.22339</v>
      </c>
      <c r="F78" s="26">
        <f>ROUND(134.22339,5)</f>
        <v>134.22339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43041</v>
      </c>
      <c r="B80" s="22"/>
      <c r="C80" s="26">
        <f>ROUND(10.025,5)</f>
        <v>10.025</v>
      </c>
      <c r="D80" s="26">
        <f>F80</f>
        <v>10.02578</v>
      </c>
      <c r="E80" s="26">
        <f>F80</f>
        <v>10.02578</v>
      </c>
      <c r="F80" s="26">
        <f>ROUND(10.02578,5)</f>
        <v>10.02578</v>
      </c>
      <c r="G80" s="24"/>
      <c r="H80" s="36"/>
    </row>
    <row r="81" spans="1:8" ht="12.75" customHeight="1">
      <c r="A81" s="22">
        <v>43132</v>
      </c>
      <c r="B81" s="22"/>
      <c r="C81" s="26">
        <f>ROUND(10.025,5)</f>
        <v>10.025</v>
      </c>
      <c r="D81" s="26">
        <f>F81</f>
        <v>10.09653</v>
      </c>
      <c r="E81" s="26">
        <f>F81</f>
        <v>10.09653</v>
      </c>
      <c r="F81" s="26">
        <f>ROUND(10.09653,5)</f>
        <v>10.09653</v>
      </c>
      <c r="G81" s="24"/>
      <c r="H81" s="36"/>
    </row>
    <row r="82" spans="1:8" ht="12.75" customHeight="1">
      <c r="A82" s="22">
        <v>43223</v>
      </c>
      <c r="B82" s="22"/>
      <c r="C82" s="26">
        <f>ROUND(10.025,5)</f>
        <v>10.025</v>
      </c>
      <c r="D82" s="26">
        <f>F82</f>
        <v>10.17062</v>
      </c>
      <c r="E82" s="26">
        <f>F82</f>
        <v>10.17062</v>
      </c>
      <c r="F82" s="26">
        <f>ROUND(10.17062,5)</f>
        <v>10.17062</v>
      </c>
      <c r="G82" s="24"/>
      <c r="H82" s="36"/>
    </row>
    <row r="83" spans="1:8" ht="12.75" customHeight="1">
      <c r="A83" s="22">
        <v>43314</v>
      </c>
      <c r="B83" s="22"/>
      <c r="C83" s="26">
        <f>ROUND(10.025,5)</f>
        <v>10.025</v>
      </c>
      <c r="D83" s="26">
        <f>F83</f>
        <v>10.24719</v>
      </c>
      <c r="E83" s="26">
        <f>F83</f>
        <v>10.24719</v>
      </c>
      <c r="F83" s="26">
        <f>ROUND(10.24719,5)</f>
        <v>10.24719</v>
      </c>
      <c r="G83" s="24"/>
      <c r="H83" s="36"/>
    </row>
    <row r="84" spans="1:8" ht="12.75" customHeight="1">
      <c r="A84" s="22">
        <v>43405</v>
      </c>
      <c r="B84" s="22"/>
      <c r="C84" s="26">
        <f>ROUND(10.025,5)</f>
        <v>10.025</v>
      </c>
      <c r="D84" s="26">
        <f>F84</f>
        <v>10.31413</v>
      </c>
      <c r="E84" s="26">
        <f>F84</f>
        <v>10.31413</v>
      </c>
      <c r="F84" s="26">
        <f>ROUND(10.31413,5)</f>
        <v>10.31413</v>
      </c>
      <c r="G84" s="24"/>
      <c r="H84" s="36"/>
    </row>
    <row r="85" spans="1:8" ht="12.75" customHeight="1">
      <c r="A85" s="22" t="s">
        <v>36</v>
      </c>
      <c r="B85" s="22"/>
      <c r="C85" s="25"/>
      <c r="D85" s="25"/>
      <c r="E85" s="25"/>
      <c r="F85" s="25"/>
      <c r="G85" s="24"/>
      <c r="H85" s="36"/>
    </row>
    <row r="86" spans="1:8" ht="12.75" customHeight="1">
      <c r="A86" s="22">
        <v>43041</v>
      </c>
      <c r="B86" s="22"/>
      <c r="C86" s="26">
        <f>ROUND(10.04,5)</f>
        <v>10.04</v>
      </c>
      <c r="D86" s="26">
        <f>F86</f>
        <v>10.04076</v>
      </c>
      <c r="E86" s="26">
        <f>F86</f>
        <v>10.04076</v>
      </c>
      <c r="F86" s="26">
        <f>ROUND(10.04076,5)</f>
        <v>10.04076</v>
      </c>
      <c r="G86" s="24"/>
      <c r="H86" s="36"/>
    </row>
    <row r="87" spans="1:8" ht="12.75" customHeight="1">
      <c r="A87" s="22">
        <v>43132</v>
      </c>
      <c r="B87" s="22"/>
      <c r="C87" s="26">
        <f>ROUND(10.04,5)</f>
        <v>10.04</v>
      </c>
      <c r="D87" s="26">
        <f>F87</f>
        <v>10.10902</v>
      </c>
      <c r="E87" s="26">
        <f>F87</f>
        <v>10.10902</v>
      </c>
      <c r="F87" s="26">
        <f>ROUND(10.10902,5)</f>
        <v>10.10902</v>
      </c>
      <c r="G87" s="24"/>
      <c r="H87" s="36"/>
    </row>
    <row r="88" spans="1:8" ht="12.75" customHeight="1">
      <c r="A88" s="22">
        <v>43223</v>
      </c>
      <c r="B88" s="22"/>
      <c r="C88" s="26">
        <f>ROUND(10.04,5)</f>
        <v>10.04</v>
      </c>
      <c r="D88" s="26">
        <f>F88</f>
        <v>10.18037</v>
      </c>
      <c r="E88" s="26">
        <f>F88</f>
        <v>10.18037</v>
      </c>
      <c r="F88" s="26">
        <f>ROUND(10.18037,5)</f>
        <v>10.18037</v>
      </c>
      <c r="G88" s="24"/>
      <c r="H88" s="36"/>
    </row>
    <row r="89" spans="1:8" ht="12.75" customHeight="1">
      <c r="A89" s="22">
        <v>43314</v>
      </c>
      <c r="B89" s="22"/>
      <c r="C89" s="26">
        <f>ROUND(10.04,5)</f>
        <v>10.04</v>
      </c>
      <c r="D89" s="26">
        <f>F89</f>
        <v>10.254</v>
      </c>
      <c r="E89" s="26">
        <f>F89</f>
        <v>10.254</v>
      </c>
      <c r="F89" s="26">
        <f>ROUND(10.254,5)</f>
        <v>10.254</v>
      </c>
      <c r="G89" s="24"/>
      <c r="H89" s="36"/>
    </row>
    <row r="90" spans="1:8" ht="12.75" customHeight="1">
      <c r="A90" s="22">
        <v>43405</v>
      </c>
      <c r="B90" s="22"/>
      <c r="C90" s="26">
        <f>ROUND(10.04,5)</f>
        <v>10.04</v>
      </c>
      <c r="D90" s="26">
        <f>F90</f>
        <v>10.31825</v>
      </c>
      <c r="E90" s="26">
        <f>F90</f>
        <v>10.31825</v>
      </c>
      <c r="F90" s="26">
        <f>ROUND(10.31825,5)</f>
        <v>10.31825</v>
      </c>
      <c r="G90" s="24"/>
      <c r="H90" s="36"/>
    </row>
    <row r="91" spans="1:8" ht="12.75" customHeight="1">
      <c r="A91" s="22" t="s">
        <v>37</v>
      </c>
      <c r="B91" s="22"/>
      <c r="C91" s="25"/>
      <c r="D91" s="25"/>
      <c r="E91" s="25"/>
      <c r="F91" s="25"/>
      <c r="G91" s="24"/>
      <c r="H91" s="36"/>
    </row>
    <row r="92" spans="1:8" ht="12.75" customHeight="1">
      <c r="A92" s="22">
        <v>43041</v>
      </c>
      <c r="B92" s="22"/>
      <c r="C92" s="26">
        <f>ROUND(122.14609,5)</f>
        <v>122.14609</v>
      </c>
      <c r="D92" s="26">
        <f>F92</f>
        <v>122.1701</v>
      </c>
      <c r="E92" s="26">
        <f>F92</f>
        <v>122.1701</v>
      </c>
      <c r="F92" s="26">
        <f>ROUND(122.1701,5)</f>
        <v>122.1701</v>
      </c>
      <c r="G92" s="24"/>
      <c r="H92" s="36"/>
    </row>
    <row r="93" spans="1:8" ht="12.75" customHeight="1">
      <c r="A93" s="22">
        <v>43132</v>
      </c>
      <c r="B93" s="22"/>
      <c r="C93" s="26">
        <f>ROUND(122.14609,5)</f>
        <v>122.14609</v>
      </c>
      <c r="D93" s="26">
        <f>F93</f>
        <v>124.44525</v>
      </c>
      <c r="E93" s="26">
        <f>F93</f>
        <v>124.44525</v>
      </c>
      <c r="F93" s="26">
        <f>ROUND(124.44525,5)</f>
        <v>124.44525</v>
      </c>
      <c r="G93" s="24"/>
      <c r="H93" s="36"/>
    </row>
    <row r="94" spans="1:8" ht="12.75" customHeight="1">
      <c r="A94" s="22">
        <v>43223</v>
      </c>
      <c r="B94" s="22"/>
      <c r="C94" s="26">
        <f>ROUND(122.14609,5)</f>
        <v>122.14609</v>
      </c>
      <c r="D94" s="26">
        <f>F94</f>
        <v>125.19135</v>
      </c>
      <c r="E94" s="26">
        <f>F94</f>
        <v>125.19135</v>
      </c>
      <c r="F94" s="26">
        <f>ROUND(125.19135,5)</f>
        <v>125.19135</v>
      </c>
      <c r="G94" s="24"/>
      <c r="H94" s="36"/>
    </row>
    <row r="95" spans="1:8" ht="12.75" customHeight="1">
      <c r="A95" s="22">
        <v>43314</v>
      </c>
      <c r="B95" s="22"/>
      <c r="C95" s="26">
        <f>ROUND(122.14609,5)</f>
        <v>122.14609</v>
      </c>
      <c r="D95" s="26">
        <f>F95</f>
        <v>127.58051</v>
      </c>
      <c r="E95" s="26">
        <f>F95</f>
        <v>127.58051</v>
      </c>
      <c r="F95" s="26">
        <f>ROUND(127.58051,5)</f>
        <v>127.58051</v>
      </c>
      <c r="G95" s="24"/>
      <c r="H95" s="36"/>
    </row>
    <row r="96" spans="1:8" ht="12.75" customHeight="1">
      <c r="A96" s="22">
        <v>43405</v>
      </c>
      <c r="B96" s="22"/>
      <c r="C96" s="26">
        <f>ROUND(122.14609,5)</f>
        <v>122.14609</v>
      </c>
      <c r="D96" s="26">
        <f>F96</f>
        <v>129.98124</v>
      </c>
      <c r="E96" s="26">
        <f>F96</f>
        <v>129.98124</v>
      </c>
      <c r="F96" s="26">
        <f>ROUND(129.98124,5)</f>
        <v>129.98124</v>
      </c>
      <c r="G96" s="24"/>
      <c r="H96" s="36"/>
    </row>
    <row r="97" spans="1:8" ht="12.75" customHeight="1">
      <c r="A97" s="22" t="s">
        <v>38</v>
      </c>
      <c r="B97" s="22"/>
      <c r="C97" s="25"/>
      <c r="D97" s="25"/>
      <c r="E97" s="25"/>
      <c r="F97" s="25"/>
      <c r="G97" s="24"/>
      <c r="H97" s="36"/>
    </row>
    <row r="98" spans="1:8" ht="12.75" customHeight="1">
      <c r="A98" s="22">
        <v>43041</v>
      </c>
      <c r="B98" s="22"/>
      <c r="C98" s="26">
        <f>ROUND(2.67,5)</f>
        <v>2.67</v>
      </c>
      <c r="D98" s="26">
        <f>F98</f>
        <v>129.08095</v>
      </c>
      <c r="E98" s="26">
        <f>F98</f>
        <v>129.08095</v>
      </c>
      <c r="F98" s="26">
        <f>ROUND(129.08095,5)</f>
        <v>129.08095</v>
      </c>
      <c r="G98" s="24"/>
      <c r="H98" s="36"/>
    </row>
    <row r="99" spans="1:8" ht="12.75" customHeight="1">
      <c r="A99" s="22">
        <v>43132</v>
      </c>
      <c r="B99" s="22"/>
      <c r="C99" s="26">
        <f>ROUND(2.67,5)</f>
        <v>2.67</v>
      </c>
      <c r="D99" s="26">
        <f>F99</f>
        <v>129.80569</v>
      </c>
      <c r="E99" s="26">
        <f>F99</f>
        <v>129.80569</v>
      </c>
      <c r="F99" s="26">
        <f>ROUND(129.80569,5)</f>
        <v>129.80569</v>
      </c>
      <c r="G99" s="24"/>
      <c r="H99" s="36"/>
    </row>
    <row r="100" spans="1:8" ht="12.75" customHeight="1">
      <c r="A100" s="22">
        <v>43223</v>
      </c>
      <c r="B100" s="22"/>
      <c r="C100" s="26">
        <f>ROUND(2.67,5)</f>
        <v>2.67</v>
      </c>
      <c r="D100" s="26">
        <f>F100</f>
        <v>132.25267</v>
      </c>
      <c r="E100" s="26">
        <f>F100</f>
        <v>132.25267</v>
      </c>
      <c r="F100" s="26">
        <f>ROUND(132.25267,5)</f>
        <v>132.25267</v>
      </c>
      <c r="G100" s="24"/>
      <c r="H100" s="36"/>
    </row>
    <row r="101" spans="1:8" ht="12.75" customHeight="1">
      <c r="A101" s="22">
        <v>43314</v>
      </c>
      <c r="B101" s="22"/>
      <c r="C101" s="26">
        <f>ROUND(2.67,5)</f>
        <v>2.67</v>
      </c>
      <c r="D101" s="26">
        <f>F101</f>
        <v>133.04348</v>
      </c>
      <c r="E101" s="26">
        <f>F101</f>
        <v>133.04348</v>
      </c>
      <c r="F101" s="26">
        <f>ROUND(133.04348,5)</f>
        <v>133.04348</v>
      </c>
      <c r="G101" s="24"/>
      <c r="H101" s="36"/>
    </row>
    <row r="102" spans="1:8" ht="12.75" customHeight="1">
      <c r="A102" s="22">
        <v>43405</v>
      </c>
      <c r="B102" s="22"/>
      <c r="C102" s="26">
        <f>ROUND(2.67,5)</f>
        <v>2.67</v>
      </c>
      <c r="D102" s="26">
        <f>F102</f>
        <v>135.54648</v>
      </c>
      <c r="E102" s="26">
        <f>F102</f>
        <v>135.54648</v>
      </c>
      <c r="F102" s="26">
        <f>ROUND(135.54648,5)</f>
        <v>135.54648</v>
      </c>
      <c r="G102" s="24"/>
      <c r="H102" s="36"/>
    </row>
    <row r="103" spans="1:8" ht="12.75" customHeight="1">
      <c r="A103" s="22" t="s">
        <v>39</v>
      </c>
      <c r="B103" s="22"/>
      <c r="C103" s="25"/>
      <c r="D103" s="25"/>
      <c r="E103" s="25"/>
      <c r="F103" s="25"/>
      <c r="G103" s="24"/>
      <c r="H103" s="36"/>
    </row>
    <row r="104" spans="1:8" ht="12.75" customHeight="1">
      <c r="A104" s="22">
        <v>43041</v>
      </c>
      <c r="B104" s="22"/>
      <c r="C104" s="26">
        <f>ROUND(3.295,5)</f>
        <v>3.295</v>
      </c>
      <c r="D104" s="26">
        <f>F104</f>
        <v>126.38764</v>
      </c>
      <c r="E104" s="26">
        <f>F104</f>
        <v>126.38764</v>
      </c>
      <c r="F104" s="26">
        <f>ROUND(126.38764,5)</f>
        <v>126.38764</v>
      </c>
      <c r="G104" s="24"/>
      <c r="H104" s="36"/>
    </row>
    <row r="105" spans="1:8" ht="12.75" customHeight="1">
      <c r="A105" s="22">
        <v>43132</v>
      </c>
      <c r="B105" s="22"/>
      <c r="C105" s="26">
        <f>ROUND(3.295,5)</f>
        <v>3.295</v>
      </c>
      <c r="D105" s="26">
        <f>F105</f>
        <v>128.74109</v>
      </c>
      <c r="E105" s="26">
        <f>F105</f>
        <v>128.74109</v>
      </c>
      <c r="F105" s="26">
        <f>ROUND(128.74109,5)</f>
        <v>128.74109</v>
      </c>
      <c r="G105" s="24"/>
      <c r="H105" s="36"/>
    </row>
    <row r="106" spans="1:8" ht="12.75" customHeight="1">
      <c r="A106" s="22">
        <v>43223</v>
      </c>
      <c r="B106" s="22"/>
      <c r="C106" s="26">
        <f>ROUND(3.295,5)</f>
        <v>3.295</v>
      </c>
      <c r="D106" s="26">
        <f>F106</f>
        <v>129.40854</v>
      </c>
      <c r="E106" s="26">
        <f>F106</f>
        <v>129.40854</v>
      </c>
      <c r="F106" s="26">
        <f>ROUND(129.40854,5)</f>
        <v>129.40854</v>
      </c>
      <c r="G106" s="24"/>
      <c r="H106" s="36"/>
    </row>
    <row r="107" spans="1:8" ht="12.75" customHeight="1">
      <c r="A107" s="22">
        <v>43314</v>
      </c>
      <c r="B107" s="22"/>
      <c r="C107" s="26">
        <f>ROUND(3.295,5)</f>
        <v>3.295</v>
      </c>
      <c r="D107" s="26">
        <f>F107</f>
        <v>131.87813</v>
      </c>
      <c r="E107" s="26">
        <f>F107</f>
        <v>131.87813</v>
      </c>
      <c r="F107" s="26">
        <f>ROUND(131.87813,5)</f>
        <v>131.87813</v>
      </c>
      <c r="G107" s="24"/>
      <c r="H107" s="36"/>
    </row>
    <row r="108" spans="1:8" ht="12.75" customHeight="1">
      <c r="A108" s="22">
        <v>43405</v>
      </c>
      <c r="B108" s="22"/>
      <c r="C108" s="26">
        <f>ROUND(3.295,5)</f>
        <v>3.295</v>
      </c>
      <c r="D108" s="26">
        <f>F108</f>
        <v>134.35958</v>
      </c>
      <c r="E108" s="26">
        <f>F108</f>
        <v>134.35958</v>
      </c>
      <c r="F108" s="26">
        <f>ROUND(134.35958,5)</f>
        <v>134.35958</v>
      </c>
      <c r="G108" s="24"/>
      <c r="H108" s="36"/>
    </row>
    <row r="109" spans="1:8" ht="12.75" customHeight="1">
      <c r="A109" s="22" t="s">
        <v>40</v>
      </c>
      <c r="B109" s="22"/>
      <c r="C109" s="25"/>
      <c r="D109" s="25"/>
      <c r="E109" s="25"/>
      <c r="F109" s="25"/>
      <c r="G109" s="24"/>
      <c r="H109" s="36"/>
    </row>
    <row r="110" spans="1:8" ht="12.75" customHeight="1">
      <c r="A110" s="22">
        <v>43041</v>
      </c>
      <c r="B110" s="22"/>
      <c r="C110" s="26">
        <f>ROUND(11.015,5)</f>
        <v>11.015</v>
      </c>
      <c r="D110" s="26">
        <f>F110</f>
        <v>11.01625</v>
      </c>
      <c r="E110" s="26">
        <f>F110</f>
        <v>11.01625</v>
      </c>
      <c r="F110" s="26">
        <f>ROUND(11.01625,5)</f>
        <v>11.01625</v>
      </c>
      <c r="G110" s="24"/>
      <c r="H110" s="36"/>
    </row>
    <row r="111" spans="1:8" ht="12.75" customHeight="1">
      <c r="A111" s="22">
        <v>43132</v>
      </c>
      <c r="B111" s="22"/>
      <c r="C111" s="26">
        <f>ROUND(11.015,5)</f>
        <v>11.015</v>
      </c>
      <c r="D111" s="26">
        <f>F111</f>
        <v>11.1311</v>
      </c>
      <c r="E111" s="26">
        <f>F111</f>
        <v>11.1311</v>
      </c>
      <c r="F111" s="26">
        <f>ROUND(11.1311,5)</f>
        <v>11.1311</v>
      </c>
      <c r="G111" s="24"/>
      <c r="H111" s="36"/>
    </row>
    <row r="112" spans="1:8" ht="12.75" customHeight="1">
      <c r="A112" s="22">
        <v>43223</v>
      </c>
      <c r="B112" s="22"/>
      <c r="C112" s="26">
        <f>ROUND(11.015,5)</f>
        <v>11.015</v>
      </c>
      <c r="D112" s="26">
        <f>F112</f>
        <v>11.2446</v>
      </c>
      <c r="E112" s="26">
        <f>F112</f>
        <v>11.2446</v>
      </c>
      <c r="F112" s="26">
        <f>ROUND(11.2446,5)</f>
        <v>11.2446</v>
      </c>
      <c r="G112" s="24"/>
      <c r="H112" s="36"/>
    </row>
    <row r="113" spans="1:8" ht="12.75" customHeight="1">
      <c r="A113" s="22">
        <v>43314</v>
      </c>
      <c r="B113" s="22"/>
      <c r="C113" s="26">
        <f>ROUND(11.015,5)</f>
        <v>11.015</v>
      </c>
      <c r="D113" s="26">
        <f>F113</f>
        <v>11.35928</v>
      </c>
      <c r="E113" s="26">
        <f>F113</f>
        <v>11.35928</v>
      </c>
      <c r="F113" s="26">
        <f>ROUND(11.35928,5)</f>
        <v>11.35928</v>
      </c>
      <c r="G113" s="24"/>
      <c r="H113" s="36"/>
    </row>
    <row r="114" spans="1:8" ht="12.75" customHeight="1">
      <c r="A114" s="22">
        <v>43405</v>
      </c>
      <c r="B114" s="22"/>
      <c r="C114" s="26">
        <f>ROUND(11.015,5)</f>
        <v>11.015</v>
      </c>
      <c r="D114" s="26">
        <f>F114</f>
        <v>11.47462</v>
      </c>
      <c r="E114" s="26">
        <f>F114</f>
        <v>11.47462</v>
      </c>
      <c r="F114" s="26">
        <f>ROUND(11.47462,5)</f>
        <v>11.47462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43041</v>
      </c>
      <c r="B116" s="22"/>
      <c r="C116" s="26">
        <f>ROUND(11.235,5)</f>
        <v>11.235</v>
      </c>
      <c r="D116" s="26">
        <f>F116</f>
        <v>11.2362</v>
      </c>
      <c r="E116" s="26">
        <f>F116</f>
        <v>11.2362</v>
      </c>
      <c r="F116" s="26">
        <f>ROUND(11.2362,5)</f>
        <v>11.2362</v>
      </c>
      <c r="G116" s="24"/>
      <c r="H116" s="36"/>
    </row>
    <row r="117" spans="1:8" ht="12.75" customHeight="1">
      <c r="A117" s="22">
        <v>43132</v>
      </c>
      <c r="B117" s="22"/>
      <c r="C117" s="26">
        <f>ROUND(11.235,5)</f>
        <v>11.235</v>
      </c>
      <c r="D117" s="26">
        <f>F117</f>
        <v>11.3464</v>
      </c>
      <c r="E117" s="26">
        <f>F117</f>
        <v>11.3464</v>
      </c>
      <c r="F117" s="26">
        <f>ROUND(11.3464,5)</f>
        <v>11.3464</v>
      </c>
      <c r="G117" s="24"/>
      <c r="H117" s="36"/>
    </row>
    <row r="118" spans="1:8" ht="12.75" customHeight="1">
      <c r="A118" s="22">
        <v>43223</v>
      </c>
      <c r="B118" s="22"/>
      <c r="C118" s="26">
        <f>ROUND(11.235,5)</f>
        <v>11.235</v>
      </c>
      <c r="D118" s="26">
        <f>F118</f>
        <v>11.46062</v>
      </c>
      <c r="E118" s="26">
        <f>F118</f>
        <v>11.46062</v>
      </c>
      <c r="F118" s="26">
        <f>ROUND(11.46062,5)</f>
        <v>11.46062</v>
      </c>
      <c r="G118" s="24"/>
      <c r="H118" s="36"/>
    </row>
    <row r="119" spans="1:8" ht="12.75" customHeight="1">
      <c r="A119" s="22">
        <v>43314</v>
      </c>
      <c r="B119" s="22"/>
      <c r="C119" s="26">
        <f>ROUND(11.235,5)</f>
        <v>11.235</v>
      </c>
      <c r="D119" s="26">
        <f>F119</f>
        <v>11.57389</v>
      </c>
      <c r="E119" s="26">
        <f>F119</f>
        <v>11.57389</v>
      </c>
      <c r="F119" s="26">
        <f>ROUND(11.57389,5)</f>
        <v>11.57389</v>
      </c>
      <c r="G119" s="24"/>
      <c r="H119" s="36"/>
    </row>
    <row r="120" spans="1:8" ht="12.75" customHeight="1">
      <c r="A120" s="22">
        <v>43405</v>
      </c>
      <c r="B120" s="22"/>
      <c r="C120" s="26">
        <f>ROUND(11.235,5)</f>
        <v>11.235</v>
      </c>
      <c r="D120" s="26">
        <f>F120</f>
        <v>11.68735</v>
      </c>
      <c r="E120" s="26">
        <f>F120</f>
        <v>11.68735</v>
      </c>
      <c r="F120" s="26">
        <f>ROUND(11.68735,5)</f>
        <v>11.68735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43041</v>
      </c>
      <c r="B122" s="22"/>
      <c r="C122" s="26">
        <f>ROUND(8.31,5)</f>
        <v>8.31</v>
      </c>
      <c r="D122" s="26">
        <f>F122</f>
        <v>8.31066</v>
      </c>
      <c r="E122" s="26">
        <f>F122</f>
        <v>8.31066</v>
      </c>
      <c r="F122" s="26">
        <f>ROUND(8.31066,5)</f>
        <v>8.31066</v>
      </c>
      <c r="G122" s="24"/>
      <c r="H122" s="36"/>
    </row>
    <row r="123" spans="1:8" ht="12.75" customHeight="1">
      <c r="A123" s="22">
        <v>43132</v>
      </c>
      <c r="B123" s="22"/>
      <c r="C123" s="26">
        <f>ROUND(8.31,5)</f>
        <v>8.31</v>
      </c>
      <c r="D123" s="26">
        <f>F123</f>
        <v>8.36864</v>
      </c>
      <c r="E123" s="26">
        <f>F123</f>
        <v>8.36864</v>
      </c>
      <c r="F123" s="26">
        <f>ROUND(8.36864,5)</f>
        <v>8.36864</v>
      </c>
      <c r="G123" s="24"/>
      <c r="H123" s="36"/>
    </row>
    <row r="124" spans="1:8" ht="12.75" customHeight="1">
      <c r="A124" s="22">
        <v>43223</v>
      </c>
      <c r="B124" s="22"/>
      <c r="C124" s="26">
        <f>ROUND(8.31,5)</f>
        <v>8.31</v>
      </c>
      <c r="D124" s="26">
        <f>F124</f>
        <v>8.4211</v>
      </c>
      <c r="E124" s="26">
        <f>F124</f>
        <v>8.4211</v>
      </c>
      <c r="F124" s="26">
        <f>ROUND(8.4211,5)</f>
        <v>8.4211</v>
      </c>
      <c r="G124" s="24"/>
      <c r="H124" s="36"/>
    </row>
    <row r="125" spans="1:8" ht="12.75" customHeight="1">
      <c r="A125" s="22">
        <v>43314</v>
      </c>
      <c r="B125" s="22"/>
      <c r="C125" s="26">
        <f>ROUND(8.31,5)</f>
        <v>8.31</v>
      </c>
      <c r="D125" s="26">
        <f>F125</f>
        <v>8.47429</v>
      </c>
      <c r="E125" s="26">
        <f>F125</f>
        <v>8.47429</v>
      </c>
      <c r="F125" s="26">
        <f>ROUND(8.47429,5)</f>
        <v>8.47429</v>
      </c>
      <c r="G125" s="24"/>
      <c r="H125" s="36"/>
    </row>
    <row r="126" spans="1:8" ht="12.75" customHeight="1">
      <c r="A126" s="22">
        <v>43405</v>
      </c>
      <c r="B126" s="22"/>
      <c r="C126" s="26">
        <f>ROUND(8.31,5)</f>
        <v>8.31</v>
      </c>
      <c r="D126" s="26">
        <f>F126</f>
        <v>8.52503</v>
      </c>
      <c r="E126" s="26">
        <f>F126</f>
        <v>8.52503</v>
      </c>
      <c r="F126" s="26">
        <f>ROUND(8.52503,5)</f>
        <v>8.52503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43041</v>
      </c>
      <c r="B128" s="22"/>
      <c r="C128" s="26">
        <f>ROUND(9.86,5)</f>
        <v>9.86</v>
      </c>
      <c r="D128" s="26">
        <f>F128</f>
        <v>9.86083</v>
      </c>
      <c r="E128" s="26">
        <f>F128</f>
        <v>9.86083</v>
      </c>
      <c r="F128" s="26">
        <f>ROUND(9.86083,5)</f>
        <v>9.86083</v>
      </c>
      <c r="G128" s="24"/>
      <c r="H128" s="36"/>
    </row>
    <row r="129" spans="1:8" ht="12.75" customHeight="1">
      <c r="A129" s="22">
        <v>43132</v>
      </c>
      <c r="B129" s="22"/>
      <c r="C129" s="26">
        <f>ROUND(9.86,5)</f>
        <v>9.86</v>
      </c>
      <c r="D129" s="26">
        <f>F129</f>
        <v>9.93617</v>
      </c>
      <c r="E129" s="26">
        <f>F129</f>
        <v>9.93617</v>
      </c>
      <c r="F129" s="26">
        <f>ROUND(9.93617,5)</f>
        <v>9.93617</v>
      </c>
      <c r="G129" s="24"/>
      <c r="H129" s="36"/>
    </row>
    <row r="130" spans="1:8" ht="12.75" customHeight="1">
      <c r="A130" s="22">
        <v>43223</v>
      </c>
      <c r="B130" s="22"/>
      <c r="C130" s="26">
        <f>ROUND(9.86,5)</f>
        <v>9.86</v>
      </c>
      <c r="D130" s="26">
        <f>F130</f>
        <v>10.00767</v>
      </c>
      <c r="E130" s="26">
        <f>F130</f>
        <v>10.00767</v>
      </c>
      <c r="F130" s="26">
        <f>ROUND(10.00767,5)</f>
        <v>10.00767</v>
      </c>
      <c r="G130" s="24"/>
      <c r="H130" s="36"/>
    </row>
    <row r="131" spans="1:8" ht="12.75" customHeight="1">
      <c r="A131" s="22">
        <v>43314</v>
      </c>
      <c r="B131" s="22"/>
      <c r="C131" s="26">
        <f>ROUND(9.86,5)</f>
        <v>9.86</v>
      </c>
      <c r="D131" s="26">
        <f>F131</f>
        <v>10.08005</v>
      </c>
      <c r="E131" s="26">
        <f>F131</f>
        <v>10.08005</v>
      </c>
      <c r="F131" s="26">
        <f>ROUND(10.08005,5)</f>
        <v>10.08005</v>
      </c>
      <c r="G131" s="24"/>
      <c r="H131" s="36"/>
    </row>
    <row r="132" spans="1:8" ht="12.75" customHeight="1">
      <c r="A132" s="22">
        <v>43405</v>
      </c>
      <c r="B132" s="22"/>
      <c r="C132" s="26">
        <f>ROUND(9.86,5)</f>
        <v>9.86</v>
      </c>
      <c r="D132" s="26">
        <f>F132</f>
        <v>10.15138</v>
      </c>
      <c r="E132" s="26">
        <f>F132</f>
        <v>10.15138</v>
      </c>
      <c r="F132" s="26">
        <f>ROUND(10.15138,5)</f>
        <v>10.15138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43041</v>
      </c>
      <c r="B134" s="22"/>
      <c r="C134" s="26">
        <f>ROUND(9.01,5)</f>
        <v>9.01</v>
      </c>
      <c r="D134" s="26">
        <f>F134</f>
        <v>9.01076</v>
      </c>
      <c r="E134" s="26">
        <f>F134</f>
        <v>9.01076</v>
      </c>
      <c r="F134" s="26">
        <f>ROUND(9.01076,5)</f>
        <v>9.01076</v>
      </c>
      <c r="G134" s="24"/>
      <c r="H134" s="36"/>
    </row>
    <row r="135" spans="1:8" ht="12.75" customHeight="1">
      <c r="A135" s="22">
        <v>43132</v>
      </c>
      <c r="B135" s="22"/>
      <c r="C135" s="26">
        <f>ROUND(9.01,5)</f>
        <v>9.01</v>
      </c>
      <c r="D135" s="26">
        <f>F135</f>
        <v>9.07816</v>
      </c>
      <c r="E135" s="26">
        <f>F135</f>
        <v>9.07816</v>
      </c>
      <c r="F135" s="26">
        <f>ROUND(9.07816,5)</f>
        <v>9.07816</v>
      </c>
      <c r="G135" s="24"/>
      <c r="H135" s="36"/>
    </row>
    <row r="136" spans="1:8" ht="12.75" customHeight="1">
      <c r="A136" s="22">
        <v>43223</v>
      </c>
      <c r="B136" s="22"/>
      <c r="C136" s="26">
        <f>ROUND(9.01,5)</f>
        <v>9.01</v>
      </c>
      <c r="D136" s="26">
        <f>F136</f>
        <v>9.14782</v>
      </c>
      <c r="E136" s="26">
        <f>F136</f>
        <v>9.14782</v>
      </c>
      <c r="F136" s="26">
        <f>ROUND(9.14782,5)</f>
        <v>9.14782</v>
      </c>
      <c r="G136" s="24"/>
      <c r="H136" s="36"/>
    </row>
    <row r="137" spans="1:8" ht="12.75" customHeight="1">
      <c r="A137" s="22">
        <v>43314</v>
      </c>
      <c r="B137" s="22"/>
      <c r="C137" s="26">
        <f>ROUND(9.01,5)</f>
        <v>9.01</v>
      </c>
      <c r="D137" s="26">
        <f>F137</f>
        <v>9.21873</v>
      </c>
      <c r="E137" s="26">
        <f>F137</f>
        <v>9.21873</v>
      </c>
      <c r="F137" s="26">
        <f>ROUND(9.21873,5)</f>
        <v>9.21873</v>
      </c>
      <c r="G137" s="24"/>
      <c r="H137" s="36"/>
    </row>
    <row r="138" spans="1:8" ht="12.75" customHeight="1">
      <c r="A138" s="22">
        <v>43405</v>
      </c>
      <c r="B138" s="22"/>
      <c r="C138" s="26">
        <f>ROUND(9.01,5)</f>
        <v>9.01</v>
      </c>
      <c r="D138" s="26">
        <f>F138</f>
        <v>9.28308</v>
      </c>
      <c r="E138" s="26">
        <f>F138</f>
        <v>9.28308</v>
      </c>
      <c r="F138" s="26">
        <f>ROUND(9.28308,5)</f>
        <v>9.28308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43041</v>
      </c>
      <c r="B140" s="22"/>
      <c r="C140" s="26">
        <f>ROUND(2.47,5)</f>
        <v>2.47</v>
      </c>
      <c r="D140" s="26">
        <f>F140</f>
        <v>299.1429</v>
      </c>
      <c r="E140" s="26">
        <f>F140</f>
        <v>299.1429</v>
      </c>
      <c r="F140" s="26">
        <f>ROUND(299.1429,5)</f>
        <v>299.1429</v>
      </c>
      <c r="G140" s="24"/>
      <c r="H140" s="36"/>
    </row>
    <row r="141" spans="1:8" ht="12.75" customHeight="1">
      <c r="A141" s="22">
        <v>43132</v>
      </c>
      <c r="B141" s="22"/>
      <c r="C141" s="26">
        <f>ROUND(2.47,5)</f>
        <v>2.47</v>
      </c>
      <c r="D141" s="26">
        <f>F141</f>
        <v>297.72371</v>
      </c>
      <c r="E141" s="26">
        <f>F141</f>
        <v>297.72371</v>
      </c>
      <c r="F141" s="26">
        <f>ROUND(297.72371,5)</f>
        <v>297.72371</v>
      </c>
      <c r="G141" s="24"/>
      <c r="H141" s="36"/>
    </row>
    <row r="142" spans="1:8" ht="12.75" customHeight="1">
      <c r="A142" s="22">
        <v>43223</v>
      </c>
      <c r="B142" s="22"/>
      <c r="C142" s="26">
        <f>ROUND(2.47,5)</f>
        <v>2.47</v>
      </c>
      <c r="D142" s="26">
        <f>F142</f>
        <v>303.33629</v>
      </c>
      <c r="E142" s="26">
        <f>F142</f>
        <v>303.33629</v>
      </c>
      <c r="F142" s="26">
        <f>ROUND(303.33629,5)</f>
        <v>303.33629</v>
      </c>
      <c r="G142" s="24"/>
      <c r="H142" s="36"/>
    </row>
    <row r="143" spans="1:8" ht="12.75" customHeight="1">
      <c r="A143" s="22">
        <v>43314</v>
      </c>
      <c r="B143" s="22"/>
      <c r="C143" s="26">
        <f>ROUND(2.47,5)</f>
        <v>2.47</v>
      </c>
      <c r="D143" s="26">
        <f>F143</f>
        <v>301.9253</v>
      </c>
      <c r="E143" s="26">
        <f>F143</f>
        <v>301.9253</v>
      </c>
      <c r="F143" s="26">
        <f>ROUND(301.9253,5)</f>
        <v>301.9253</v>
      </c>
      <c r="G143" s="24"/>
      <c r="H143" s="36"/>
    </row>
    <row r="144" spans="1:8" ht="12.75" customHeight="1">
      <c r="A144" s="22">
        <v>43405</v>
      </c>
      <c r="B144" s="22"/>
      <c r="C144" s="26">
        <f>ROUND(2.47,5)</f>
        <v>2.47</v>
      </c>
      <c r="D144" s="26">
        <f>F144</f>
        <v>307.60432</v>
      </c>
      <c r="E144" s="26">
        <f>F144</f>
        <v>307.60432</v>
      </c>
      <c r="F144" s="26">
        <f>ROUND(307.60432,5)</f>
        <v>307.60432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43041</v>
      </c>
      <c r="B146" s="22"/>
      <c r="C146" s="26">
        <f>ROUND(2.61,5)</f>
        <v>2.61</v>
      </c>
      <c r="D146" s="26">
        <f>F146</f>
        <v>238.6624</v>
      </c>
      <c r="E146" s="26">
        <f>F146</f>
        <v>238.6624</v>
      </c>
      <c r="F146" s="26">
        <f>ROUND(238.6624,5)</f>
        <v>238.6624</v>
      </c>
      <c r="G146" s="24"/>
      <c r="H146" s="36"/>
    </row>
    <row r="147" spans="1:8" ht="12.75" customHeight="1">
      <c r="A147" s="22">
        <v>43132</v>
      </c>
      <c r="B147" s="22"/>
      <c r="C147" s="26">
        <f>ROUND(2.61,5)</f>
        <v>2.61</v>
      </c>
      <c r="D147" s="26">
        <f>F147</f>
        <v>239.3942</v>
      </c>
      <c r="E147" s="26">
        <f>F147</f>
        <v>239.3942</v>
      </c>
      <c r="F147" s="26">
        <f>ROUND(239.3942,5)</f>
        <v>239.3942</v>
      </c>
      <c r="G147" s="24"/>
      <c r="H147" s="36"/>
    </row>
    <row r="148" spans="1:8" ht="12.75" customHeight="1">
      <c r="A148" s="22">
        <v>43223</v>
      </c>
      <c r="B148" s="22"/>
      <c r="C148" s="26">
        <f>ROUND(2.61,5)</f>
        <v>2.61</v>
      </c>
      <c r="D148" s="26">
        <f>F148</f>
        <v>243.90704</v>
      </c>
      <c r="E148" s="26">
        <f>F148</f>
        <v>243.90704</v>
      </c>
      <c r="F148" s="26">
        <f>ROUND(243.90704,5)</f>
        <v>243.90704</v>
      </c>
      <c r="G148" s="24"/>
      <c r="H148" s="36"/>
    </row>
    <row r="149" spans="1:8" ht="12.75" customHeight="1">
      <c r="A149" s="22">
        <v>43314</v>
      </c>
      <c r="B149" s="22"/>
      <c r="C149" s="26">
        <f>ROUND(2.61,5)</f>
        <v>2.61</v>
      </c>
      <c r="D149" s="26">
        <f>F149</f>
        <v>244.73775</v>
      </c>
      <c r="E149" s="26">
        <f>F149</f>
        <v>244.73775</v>
      </c>
      <c r="F149" s="26">
        <f>ROUND(244.73775,5)</f>
        <v>244.73775</v>
      </c>
      <c r="G149" s="24"/>
      <c r="H149" s="36"/>
    </row>
    <row r="150" spans="1:8" ht="12.75" customHeight="1">
      <c r="A150" s="22">
        <v>43405</v>
      </c>
      <c r="B150" s="22"/>
      <c r="C150" s="26">
        <f>ROUND(2.61,5)</f>
        <v>2.61</v>
      </c>
      <c r="D150" s="26">
        <f>F150</f>
        <v>249.3421</v>
      </c>
      <c r="E150" s="26">
        <f>F150</f>
        <v>249.3421</v>
      </c>
      <c r="F150" s="26">
        <f>ROUND(249.3421,5)</f>
        <v>249.3421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43041</v>
      </c>
      <c r="B152" s="22"/>
      <c r="C152" s="26">
        <f>ROUND(0,5)</f>
        <v>0</v>
      </c>
      <c r="D152" s="26">
        <f>F152</f>
        <v>1.03146</v>
      </c>
      <c r="E152" s="26">
        <f>F152</f>
        <v>1.03146</v>
      </c>
      <c r="F152" s="26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6">
        <f>ROUND(7.29,5)</f>
        <v>7.29</v>
      </c>
      <c r="D154" s="26">
        <f>F154</f>
        <v>7.28985</v>
      </c>
      <c r="E154" s="26">
        <f>F154</f>
        <v>7.28985</v>
      </c>
      <c r="F154" s="26">
        <f>ROUND(7.28985,5)</f>
        <v>7.28985</v>
      </c>
      <c r="G154" s="24"/>
      <c r="H154" s="36"/>
    </row>
    <row r="155" spans="1:8" ht="12.75" customHeight="1">
      <c r="A155" s="22">
        <v>43132</v>
      </c>
      <c r="B155" s="22"/>
      <c r="C155" s="26">
        <f>ROUND(7.29,5)</f>
        <v>7.29</v>
      </c>
      <c r="D155" s="26">
        <f>F155</f>
        <v>7.25041</v>
      </c>
      <c r="E155" s="26">
        <f>F155</f>
        <v>7.25041</v>
      </c>
      <c r="F155" s="26">
        <f>ROUND(7.25041,5)</f>
        <v>7.25041</v>
      </c>
      <c r="G155" s="24"/>
      <c r="H155" s="36"/>
    </row>
    <row r="156" spans="1:8" ht="12.75" customHeight="1">
      <c r="A156" s="22">
        <v>43223</v>
      </c>
      <c r="B156" s="22"/>
      <c r="C156" s="26">
        <f>ROUND(7.29,5)</f>
        <v>7.29</v>
      </c>
      <c r="D156" s="26">
        <f>F156</f>
        <v>7.15757</v>
      </c>
      <c r="E156" s="26">
        <f>F156</f>
        <v>7.15757</v>
      </c>
      <c r="F156" s="26">
        <f>ROUND(7.15757,5)</f>
        <v>7.15757</v>
      </c>
      <c r="G156" s="24"/>
      <c r="H156" s="36"/>
    </row>
    <row r="157" spans="1:8" ht="12.75" customHeight="1">
      <c r="A157" s="22">
        <v>43314</v>
      </c>
      <c r="B157" s="22"/>
      <c r="C157" s="26">
        <f>ROUND(7.29,5)</f>
        <v>7.29</v>
      </c>
      <c r="D157" s="26">
        <f>F157</f>
        <v>6.84549</v>
      </c>
      <c r="E157" s="26">
        <f>F157</f>
        <v>6.84549</v>
      </c>
      <c r="F157" s="26">
        <f>ROUND(6.84549,5)</f>
        <v>6.84549</v>
      </c>
      <c r="G157" s="24"/>
      <c r="H157" s="36"/>
    </row>
    <row r="158" spans="1:8" ht="12.75" customHeight="1">
      <c r="A158" s="22">
        <v>43405</v>
      </c>
      <c r="B158" s="22"/>
      <c r="C158" s="26">
        <f>ROUND(7.29,5)</f>
        <v>7.29</v>
      </c>
      <c r="D158" s="26">
        <f>F158</f>
        <v>5.03639</v>
      </c>
      <c r="E158" s="26">
        <f>F158</f>
        <v>5.03639</v>
      </c>
      <c r="F158" s="26">
        <f>ROUND(5.03639,5)</f>
        <v>5.03639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43041</v>
      </c>
      <c r="B160" s="22"/>
      <c r="C160" s="26">
        <f>ROUND(7.715,5)</f>
        <v>7.715</v>
      </c>
      <c r="D160" s="26">
        <f>F160</f>
        <v>7.71544</v>
      </c>
      <c r="E160" s="26">
        <f>F160</f>
        <v>7.71544</v>
      </c>
      <c r="F160" s="26">
        <f>ROUND(7.71544,5)</f>
        <v>7.71544</v>
      </c>
      <c r="G160" s="24"/>
      <c r="H160" s="36"/>
    </row>
    <row r="161" spans="1:8" ht="12.75" customHeight="1">
      <c r="A161" s="22">
        <v>43132</v>
      </c>
      <c r="B161" s="22"/>
      <c r="C161" s="26">
        <f>ROUND(7.715,5)</f>
        <v>7.715</v>
      </c>
      <c r="D161" s="26">
        <f>F161</f>
        <v>7.75163</v>
      </c>
      <c r="E161" s="26">
        <f>F161</f>
        <v>7.75163</v>
      </c>
      <c r="F161" s="26">
        <f>ROUND(7.75163,5)</f>
        <v>7.75163</v>
      </c>
      <c r="G161" s="24"/>
      <c r="H161" s="36"/>
    </row>
    <row r="162" spans="1:8" ht="12.75" customHeight="1">
      <c r="A162" s="22">
        <v>43223</v>
      </c>
      <c r="B162" s="22"/>
      <c r="C162" s="26">
        <f>ROUND(7.715,5)</f>
        <v>7.715</v>
      </c>
      <c r="D162" s="26">
        <f>F162</f>
        <v>7.80239</v>
      </c>
      <c r="E162" s="26">
        <f>F162</f>
        <v>7.80239</v>
      </c>
      <c r="F162" s="26">
        <f>ROUND(7.80239,5)</f>
        <v>7.80239</v>
      </c>
      <c r="G162" s="24"/>
      <c r="H162" s="36"/>
    </row>
    <row r="163" spans="1:8" ht="12.75" customHeight="1">
      <c r="A163" s="22">
        <v>43314</v>
      </c>
      <c r="B163" s="22"/>
      <c r="C163" s="26">
        <f>ROUND(7.715,5)</f>
        <v>7.715</v>
      </c>
      <c r="D163" s="26">
        <f>F163</f>
        <v>7.85649</v>
      </c>
      <c r="E163" s="26">
        <f>F163</f>
        <v>7.85649</v>
      </c>
      <c r="F163" s="26">
        <f>ROUND(7.85649,5)</f>
        <v>7.85649</v>
      </c>
      <c r="G163" s="24"/>
      <c r="H163" s="36"/>
    </row>
    <row r="164" spans="1:8" ht="12.75" customHeight="1">
      <c r="A164" s="22">
        <v>43405</v>
      </c>
      <c r="B164" s="22"/>
      <c r="C164" s="26">
        <f>ROUND(7.715,5)</f>
        <v>7.715</v>
      </c>
      <c r="D164" s="26">
        <f>F164</f>
        <v>7.8619</v>
      </c>
      <c r="E164" s="26">
        <f>F164</f>
        <v>7.8619</v>
      </c>
      <c r="F164" s="26">
        <f>ROUND(7.8619,5)</f>
        <v>7.8619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43041</v>
      </c>
      <c r="B166" s="22"/>
      <c r="C166" s="26">
        <f>ROUND(7.96,5)</f>
        <v>7.96</v>
      </c>
      <c r="D166" s="26">
        <f>F166</f>
        <v>7.96058</v>
      </c>
      <c r="E166" s="26">
        <f>F166</f>
        <v>7.96058</v>
      </c>
      <c r="F166" s="26">
        <f>ROUND(7.96058,5)</f>
        <v>7.96058</v>
      </c>
      <c r="G166" s="24"/>
      <c r="H166" s="36"/>
    </row>
    <row r="167" spans="1:8" ht="12.75" customHeight="1">
      <c r="A167" s="22">
        <v>43132</v>
      </c>
      <c r="B167" s="22"/>
      <c r="C167" s="26">
        <f>ROUND(7.96,5)</f>
        <v>7.96</v>
      </c>
      <c r="D167" s="26">
        <f>F167</f>
        <v>8.01026</v>
      </c>
      <c r="E167" s="26">
        <f>F167</f>
        <v>8.01026</v>
      </c>
      <c r="F167" s="26">
        <f>ROUND(8.01026,5)</f>
        <v>8.01026</v>
      </c>
      <c r="G167" s="24"/>
      <c r="H167" s="36"/>
    </row>
    <row r="168" spans="1:8" ht="12.75" customHeight="1">
      <c r="A168" s="22">
        <v>43223</v>
      </c>
      <c r="B168" s="22"/>
      <c r="C168" s="26">
        <f>ROUND(7.96,5)</f>
        <v>7.96</v>
      </c>
      <c r="D168" s="26">
        <f>F168</f>
        <v>8.0601</v>
      </c>
      <c r="E168" s="26">
        <f>F168</f>
        <v>8.0601</v>
      </c>
      <c r="F168" s="26">
        <f>ROUND(8.0601,5)</f>
        <v>8.0601</v>
      </c>
      <c r="G168" s="24"/>
      <c r="H168" s="36"/>
    </row>
    <row r="169" spans="1:8" ht="12.75" customHeight="1">
      <c r="A169" s="22">
        <v>43314</v>
      </c>
      <c r="B169" s="22"/>
      <c r="C169" s="26">
        <f>ROUND(7.96,5)</f>
        <v>7.96</v>
      </c>
      <c r="D169" s="26">
        <f>F169</f>
        <v>8.1113</v>
      </c>
      <c r="E169" s="26">
        <f>F169</f>
        <v>8.1113</v>
      </c>
      <c r="F169" s="26">
        <f>ROUND(8.1113,5)</f>
        <v>8.1113</v>
      </c>
      <c r="G169" s="24"/>
      <c r="H169" s="36"/>
    </row>
    <row r="170" spans="1:8" ht="12.75" customHeight="1">
      <c r="A170" s="22">
        <v>43405</v>
      </c>
      <c r="B170" s="22"/>
      <c r="C170" s="26">
        <f>ROUND(7.96,5)</f>
        <v>7.96</v>
      </c>
      <c r="D170" s="26">
        <f>F170</f>
        <v>8.15009</v>
      </c>
      <c r="E170" s="26">
        <f>F170</f>
        <v>8.15009</v>
      </c>
      <c r="F170" s="26">
        <f>ROUND(8.15009,5)</f>
        <v>8.15009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43041</v>
      </c>
      <c r="B172" s="22"/>
      <c r="C172" s="26">
        <f>ROUND(9.81,5)</f>
        <v>9.81</v>
      </c>
      <c r="D172" s="26">
        <f>F172</f>
        <v>9.81072</v>
      </c>
      <c r="E172" s="26">
        <f>F172</f>
        <v>9.81072</v>
      </c>
      <c r="F172" s="26">
        <f>ROUND(9.81072,5)</f>
        <v>9.81072</v>
      </c>
      <c r="G172" s="24"/>
      <c r="H172" s="36"/>
    </row>
    <row r="173" spans="1:8" ht="12.75" customHeight="1">
      <c r="A173" s="22">
        <v>43132</v>
      </c>
      <c r="B173" s="22"/>
      <c r="C173" s="26">
        <f>ROUND(9.81,5)</f>
        <v>9.81</v>
      </c>
      <c r="D173" s="26">
        <f>F173</f>
        <v>9.87545</v>
      </c>
      <c r="E173" s="26">
        <f>F173</f>
        <v>9.87545</v>
      </c>
      <c r="F173" s="26">
        <f>ROUND(9.87545,5)</f>
        <v>9.87545</v>
      </c>
      <c r="G173" s="24"/>
      <c r="H173" s="36"/>
    </row>
    <row r="174" spans="1:8" ht="12.75" customHeight="1">
      <c r="A174" s="22">
        <v>43223</v>
      </c>
      <c r="B174" s="22"/>
      <c r="C174" s="26">
        <f>ROUND(9.81,5)</f>
        <v>9.81</v>
      </c>
      <c r="D174" s="26">
        <f>F174</f>
        <v>9.94013</v>
      </c>
      <c r="E174" s="26">
        <f>F174</f>
        <v>9.94013</v>
      </c>
      <c r="F174" s="26">
        <f>ROUND(9.94013,5)</f>
        <v>9.94013</v>
      </c>
      <c r="G174" s="24"/>
      <c r="H174" s="36"/>
    </row>
    <row r="175" spans="1:8" ht="12.75" customHeight="1">
      <c r="A175" s="22">
        <v>43314</v>
      </c>
      <c r="B175" s="22"/>
      <c r="C175" s="26">
        <f>ROUND(9.81,5)</f>
        <v>9.81</v>
      </c>
      <c r="D175" s="26">
        <f>F175</f>
        <v>10.00458</v>
      </c>
      <c r="E175" s="26">
        <f>F175</f>
        <v>10.00458</v>
      </c>
      <c r="F175" s="26">
        <f>ROUND(10.00458,5)</f>
        <v>10.00458</v>
      </c>
      <c r="G175" s="24"/>
      <c r="H175" s="36"/>
    </row>
    <row r="176" spans="1:8" ht="12.75" customHeight="1">
      <c r="A176" s="22">
        <v>43405</v>
      </c>
      <c r="B176" s="22"/>
      <c r="C176" s="26">
        <f>ROUND(9.81,5)</f>
        <v>9.81</v>
      </c>
      <c r="D176" s="26">
        <f>F176</f>
        <v>10.06603</v>
      </c>
      <c r="E176" s="26">
        <f>F176</f>
        <v>10.06603</v>
      </c>
      <c r="F176" s="26">
        <f>ROUND(10.06603,5)</f>
        <v>10.06603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43041</v>
      </c>
      <c r="B178" s="22"/>
      <c r="C178" s="26">
        <f>ROUND(2.575,5)</f>
        <v>2.575</v>
      </c>
      <c r="D178" s="26">
        <f>F178</f>
        <v>183.59908</v>
      </c>
      <c r="E178" s="26">
        <f>F178</f>
        <v>183.59908</v>
      </c>
      <c r="F178" s="26">
        <f>ROUND(183.59908,5)</f>
        <v>183.59908</v>
      </c>
      <c r="G178" s="24"/>
      <c r="H178" s="36"/>
    </row>
    <row r="179" spans="1:8" ht="12.75" customHeight="1">
      <c r="A179" s="22">
        <v>43132</v>
      </c>
      <c r="B179" s="22"/>
      <c r="C179" s="26">
        <f>ROUND(2.575,5)</f>
        <v>2.575</v>
      </c>
      <c r="D179" s="26">
        <f>F179</f>
        <v>187.01786</v>
      </c>
      <c r="E179" s="26">
        <f>F179</f>
        <v>187.01786</v>
      </c>
      <c r="F179" s="26">
        <f>ROUND(187.01786,5)</f>
        <v>187.01786</v>
      </c>
      <c r="G179" s="24"/>
      <c r="H179" s="36"/>
    </row>
    <row r="180" spans="1:8" ht="12.75" customHeight="1">
      <c r="A180" s="22">
        <v>43223</v>
      </c>
      <c r="B180" s="22"/>
      <c r="C180" s="26">
        <f>ROUND(2.575,5)</f>
        <v>2.575</v>
      </c>
      <c r="D180" s="26">
        <f>F180</f>
        <v>188.11828</v>
      </c>
      <c r="E180" s="26">
        <f>F180</f>
        <v>188.11828</v>
      </c>
      <c r="F180" s="26">
        <f>ROUND(188.11828,5)</f>
        <v>188.11828</v>
      </c>
      <c r="G180" s="24"/>
      <c r="H180" s="36"/>
    </row>
    <row r="181" spans="1:8" ht="12.75" customHeight="1">
      <c r="A181" s="22">
        <v>43314</v>
      </c>
      <c r="B181" s="22"/>
      <c r="C181" s="26">
        <f>ROUND(2.575,5)</f>
        <v>2.575</v>
      </c>
      <c r="D181" s="26">
        <f>F181</f>
        <v>191.70835</v>
      </c>
      <c r="E181" s="26">
        <f>F181</f>
        <v>191.70835</v>
      </c>
      <c r="F181" s="26">
        <f>ROUND(191.70835,5)</f>
        <v>191.70835</v>
      </c>
      <c r="G181" s="24"/>
      <c r="H181" s="36"/>
    </row>
    <row r="182" spans="1:8" ht="12.75" customHeight="1">
      <c r="A182" s="22">
        <v>43405</v>
      </c>
      <c r="B182" s="22"/>
      <c r="C182" s="26">
        <f>ROUND(2.575,5)</f>
        <v>2.575</v>
      </c>
      <c r="D182" s="26">
        <f>F182</f>
        <v>195.3158</v>
      </c>
      <c r="E182" s="26">
        <f>F182</f>
        <v>195.3158</v>
      </c>
      <c r="F182" s="26">
        <f>ROUND(195.3158,5)</f>
        <v>195.3158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43041</v>
      </c>
      <c r="B184" s="22"/>
      <c r="C184" s="26">
        <f>ROUND(0,5)</f>
        <v>0</v>
      </c>
      <c r="D184" s="26">
        <f>F184</f>
        <v>141.66256</v>
      </c>
      <c r="E184" s="26">
        <f>F184</f>
        <v>141.66256</v>
      </c>
      <c r="F184" s="26">
        <f>ROUND(141.66256,5)</f>
        <v>141.66256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6">
        <f>ROUND(2.45,5)</f>
        <v>2.45</v>
      </c>
      <c r="D186" s="26">
        <f>F186</f>
        <v>150.21404</v>
      </c>
      <c r="E186" s="26">
        <f>F186</f>
        <v>150.21404</v>
      </c>
      <c r="F186" s="26">
        <f>ROUND(150.21404,5)</f>
        <v>150.21404</v>
      </c>
      <c r="G186" s="24"/>
      <c r="H186" s="36"/>
    </row>
    <row r="187" spans="1:8" ht="12.75" customHeight="1">
      <c r="A187" s="22">
        <v>43132</v>
      </c>
      <c r="B187" s="22"/>
      <c r="C187" s="26">
        <f>ROUND(2.45,5)</f>
        <v>2.45</v>
      </c>
      <c r="D187" s="26">
        <f>F187</f>
        <v>150.96737</v>
      </c>
      <c r="E187" s="26">
        <f>F187</f>
        <v>150.96737</v>
      </c>
      <c r="F187" s="26">
        <f>ROUND(150.96737,5)</f>
        <v>150.96737</v>
      </c>
      <c r="G187" s="24"/>
      <c r="H187" s="36"/>
    </row>
    <row r="188" spans="1:8" ht="12.75" customHeight="1">
      <c r="A188" s="22">
        <v>43223</v>
      </c>
      <c r="B188" s="22"/>
      <c r="C188" s="26">
        <f>ROUND(2.45,5)</f>
        <v>2.45</v>
      </c>
      <c r="D188" s="26">
        <f>F188</f>
        <v>153.81328</v>
      </c>
      <c r="E188" s="26">
        <f>F188</f>
        <v>153.81328</v>
      </c>
      <c r="F188" s="26">
        <f>ROUND(153.81328,5)</f>
        <v>153.81328</v>
      </c>
      <c r="G188" s="24"/>
      <c r="H188" s="36"/>
    </row>
    <row r="189" spans="1:8" ht="12.75" customHeight="1">
      <c r="A189" s="22">
        <v>43314</v>
      </c>
      <c r="B189" s="22"/>
      <c r="C189" s="26">
        <f>ROUND(2.45,5)</f>
        <v>2.45</v>
      </c>
      <c r="D189" s="26">
        <f>F189</f>
        <v>156.68101</v>
      </c>
      <c r="E189" s="26">
        <f>F189</f>
        <v>156.68101</v>
      </c>
      <c r="F189" s="26">
        <f>ROUND(156.68101,5)</f>
        <v>156.68101</v>
      </c>
      <c r="G189" s="24"/>
      <c r="H189" s="36"/>
    </row>
    <row r="190" spans="1:8" ht="12.75" customHeight="1">
      <c r="A190" s="22">
        <v>43405</v>
      </c>
      <c r="B190" s="22"/>
      <c r="C190" s="26">
        <f>ROUND(2.45,5)</f>
        <v>2.45</v>
      </c>
      <c r="D190" s="26">
        <f>F190</f>
        <v>159.62953</v>
      </c>
      <c r="E190" s="26">
        <f>F190</f>
        <v>159.62953</v>
      </c>
      <c r="F190" s="26">
        <f>ROUND(159.62953,5)</f>
        <v>159.62953</v>
      </c>
      <c r="G190" s="24"/>
      <c r="H190" s="36"/>
    </row>
    <row r="191" spans="1:8" ht="12.75" customHeight="1">
      <c r="A191" s="22" t="s">
        <v>55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43041</v>
      </c>
      <c r="B192" s="22"/>
      <c r="C192" s="26">
        <f>ROUND(9.605,5)</f>
        <v>9.605</v>
      </c>
      <c r="D192" s="26">
        <f>F192</f>
        <v>9.60579</v>
      </c>
      <c r="E192" s="26">
        <f>F192</f>
        <v>9.60579</v>
      </c>
      <c r="F192" s="26">
        <f>ROUND(9.60579,5)</f>
        <v>9.60579</v>
      </c>
      <c r="G192" s="24"/>
      <c r="H192" s="36"/>
    </row>
    <row r="193" spans="1:8" ht="12.75" customHeight="1">
      <c r="A193" s="22">
        <v>43132</v>
      </c>
      <c r="B193" s="22"/>
      <c r="C193" s="26">
        <f>ROUND(9.605,5)</f>
        <v>9.605</v>
      </c>
      <c r="D193" s="26">
        <f>F193</f>
        <v>9.67738</v>
      </c>
      <c r="E193" s="26">
        <f>F193</f>
        <v>9.67738</v>
      </c>
      <c r="F193" s="26">
        <f>ROUND(9.67738,5)</f>
        <v>9.67738</v>
      </c>
      <c r="G193" s="24"/>
      <c r="H193" s="36"/>
    </row>
    <row r="194" spans="1:8" ht="12.75" customHeight="1">
      <c r="A194" s="22">
        <v>43223</v>
      </c>
      <c r="B194" s="22"/>
      <c r="C194" s="26">
        <f>ROUND(9.605,5)</f>
        <v>9.605</v>
      </c>
      <c r="D194" s="26">
        <f>F194</f>
        <v>9.74521</v>
      </c>
      <c r="E194" s="26">
        <f>F194</f>
        <v>9.74521</v>
      </c>
      <c r="F194" s="26">
        <f>ROUND(9.74521,5)</f>
        <v>9.74521</v>
      </c>
      <c r="G194" s="24"/>
      <c r="H194" s="36"/>
    </row>
    <row r="195" spans="1:8" ht="12.75" customHeight="1">
      <c r="A195" s="22">
        <v>43314</v>
      </c>
      <c r="B195" s="22"/>
      <c r="C195" s="26">
        <f>ROUND(9.605,5)</f>
        <v>9.605</v>
      </c>
      <c r="D195" s="26">
        <f>F195</f>
        <v>9.81385</v>
      </c>
      <c r="E195" s="26">
        <f>F195</f>
        <v>9.81385</v>
      </c>
      <c r="F195" s="26">
        <f>ROUND(9.81385,5)</f>
        <v>9.81385</v>
      </c>
      <c r="G195" s="24"/>
      <c r="H195" s="36"/>
    </row>
    <row r="196" spans="1:8" ht="12.75" customHeight="1">
      <c r="A196" s="22">
        <v>43405</v>
      </c>
      <c r="B196" s="22"/>
      <c r="C196" s="26">
        <f>ROUND(9.605,5)</f>
        <v>9.605</v>
      </c>
      <c r="D196" s="26">
        <f>F196</f>
        <v>9.8815</v>
      </c>
      <c r="E196" s="26">
        <f>F196</f>
        <v>9.8815</v>
      </c>
      <c r="F196" s="26">
        <f>ROUND(9.8815,5)</f>
        <v>9.8815</v>
      </c>
      <c r="G196" s="24"/>
      <c r="H196" s="36"/>
    </row>
    <row r="197" spans="1:8" ht="12.75" customHeight="1">
      <c r="A197" s="22" t="s">
        <v>56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43041</v>
      </c>
      <c r="B198" s="22"/>
      <c r="C198" s="26">
        <f>ROUND(9.935,5)</f>
        <v>9.935</v>
      </c>
      <c r="D198" s="26">
        <f>F198</f>
        <v>9.93574</v>
      </c>
      <c r="E198" s="26">
        <f>F198</f>
        <v>9.93574</v>
      </c>
      <c r="F198" s="26">
        <f>ROUND(9.93574,5)</f>
        <v>9.93574</v>
      </c>
      <c r="G198" s="24"/>
      <c r="H198" s="36"/>
    </row>
    <row r="199" spans="1:8" ht="12.75" customHeight="1">
      <c r="A199" s="22">
        <v>43132</v>
      </c>
      <c r="B199" s="22"/>
      <c r="C199" s="26">
        <f>ROUND(9.935,5)</f>
        <v>9.935</v>
      </c>
      <c r="D199" s="26">
        <f>F199</f>
        <v>10.00259</v>
      </c>
      <c r="E199" s="26">
        <f>F199</f>
        <v>10.00259</v>
      </c>
      <c r="F199" s="26">
        <f>ROUND(10.00259,5)</f>
        <v>10.00259</v>
      </c>
      <c r="G199" s="24"/>
      <c r="H199" s="36"/>
    </row>
    <row r="200" spans="1:8" ht="12.75" customHeight="1">
      <c r="A200" s="22">
        <v>43223</v>
      </c>
      <c r="B200" s="22"/>
      <c r="C200" s="26">
        <f>ROUND(9.935,5)</f>
        <v>9.935</v>
      </c>
      <c r="D200" s="26">
        <f>F200</f>
        <v>10.06573</v>
      </c>
      <c r="E200" s="26">
        <f>F200</f>
        <v>10.06573</v>
      </c>
      <c r="F200" s="26">
        <f>ROUND(10.06573,5)</f>
        <v>10.06573</v>
      </c>
      <c r="G200" s="24"/>
      <c r="H200" s="36"/>
    </row>
    <row r="201" spans="1:8" ht="12.75" customHeight="1">
      <c r="A201" s="22">
        <v>43314</v>
      </c>
      <c r="B201" s="22"/>
      <c r="C201" s="26">
        <f>ROUND(9.935,5)</f>
        <v>9.935</v>
      </c>
      <c r="D201" s="26">
        <f>F201</f>
        <v>10.12925</v>
      </c>
      <c r="E201" s="26">
        <f>F201</f>
        <v>10.12925</v>
      </c>
      <c r="F201" s="26">
        <f>ROUND(10.12925,5)</f>
        <v>10.12925</v>
      </c>
      <c r="G201" s="24"/>
      <c r="H201" s="36"/>
    </row>
    <row r="202" spans="1:8" ht="12.75" customHeight="1">
      <c r="A202" s="22">
        <v>43405</v>
      </c>
      <c r="B202" s="22"/>
      <c r="C202" s="26">
        <f>ROUND(9.935,5)</f>
        <v>9.935</v>
      </c>
      <c r="D202" s="26">
        <f>F202</f>
        <v>10.19149</v>
      </c>
      <c r="E202" s="26">
        <f>F202</f>
        <v>10.19149</v>
      </c>
      <c r="F202" s="26">
        <f>ROUND(10.19149,5)</f>
        <v>10.19149</v>
      </c>
      <c r="G202" s="24"/>
      <c r="H202" s="36"/>
    </row>
    <row r="203" spans="1:8" ht="12.75" customHeight="1">
      <c r="A203" s="22" t="s">
        <v>57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43041</v>
      </c>
      <c r="B204" s="22"/>
      <c r="C204" s="26">
        <f>ROUND(9.99,5)</f>
        <v>9.99</v>
      </c>
      <c r="D204" s="26">
        <f>F204</f>
        <v>9.99076</v>
      </c>
      <c r="E204" s="26">
        <f>F204</f>
        <v>9.99076</v>
      </c>
      <c r="F204" s="26">
        <f>ROUND(9.99076,5)</f>
        <v>9.99076</v>
      </c>
      <c r="G204" s="24"/>
      <c r="H204" s="36"/>
    </row>
    <row r="205" spans="1:8" ht="12.75" customHeight="1">
      <c r="A205" s="22">
        <v>43132</v>
      </c>
      <c r="B205" s="22"/>
      <c r="C205" s="26">
        <f>ROUND(9.99,5)</f>
        <v>9.99</v>
      </c>
      <c r="D205" s="26">
        <f>F205</f>
        <v>10.05967</v>
      </c>
      <c r="E205" s="26">
        <f>F205</f>
        <v>10.05967</v>
      </c>
      <c r="F205" s="26">
        <f>ROUND(10.05967,5)</f>
        <v>10.05967</v>
      </c>
      <c r="G205" s="24"/>
      <c r="H205" s="36"/>
    </row>
    <row r="206" spans="1:8" ht="12.75" customHeight="1">
      <c r="A206" s="22">
        <v>43223</v>
      </c>
      <c r="B206" s="22"/>
      <c r="C206" s="26">
        <f>ROUND(9.99,5)</f>
        <v>9.99</v>
      </c>
      <c r="D206" s="26">
        <f>F206</f>
        <v>10.12483</v>
      </c>
      <c r="E206" s="26">
        <f>F206</f>
        <v>10.12483</v>
      </c>
      <c r="F206" s="26">
        <f>ROUND(10.12483,5)</f>
        <v>10.12483</v>
      </c>
      <c r="G206" s="24"/>
      <c r="H206" s="36"/>
    </row>
    <row r="207" spans="1:8" ht="12.75" customHeight="1">
      <c r="A207" s="22">
        <v>43314</v>
      </c>
      <c r="B207" s="22"/>
      <c r="C207" s="26">
        <f>ROUND(9.99,5)</f>
        <v>9.99</v>
      </c>
      <c r="D207" s="26">
        <f>F207</f>
        <v>10.19047</v>
      </c>
      <c r="E207" s="26">
        <f>F207</f>
        <v>10.19047</v>
      </c>
      <c r="F207" s="26">
        <f>ROUND(10.19047,5)</f>
        <v>10.19047</v>
      </c>
      <c r="G207" s="24"/>
      <c r="H207" s="36"/>
    </row>
    <row r="208" spans="1:8" ht="12.75" customHeight="1">
      <c r="A208" s="22">
        <v>43405</v>
      </c>
      <c r="B208" s="22"/>
      <c r="C208" s="26">
        <f>ROUND(9.99,5)</f>
        <v>9.99</v>
      </c>
      <c r="D208" s="26">
        <f>F208</f>
        <v>10.25485</v>
      </c>
      <c r="E208" s="26">
        <f>F208</f>
        <v>10.25485</v>
      </c>
      <c r="F208" s="26">
        <f>ROUND(10.25485,5)</f>
        <v>10.25485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43096</v>
      </c>
      <c r="B210" s="22"/>
      <c r="C210" s="25">
        <f>ROUND(10.804921875,4)</f>
        <v>10.8049</v>
      </c>
      <c r="D210" s="25">
        <f>F210</f>
        <v>10.8975</v>
      </c>
      <c r="E210" s="25">
        <f>F210</f>
        <v>10.8975</v>
      </c>
      <c r="F210" s="25">
        <f>ROUND(10.8975,4)</f>
        <v>10.8975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43054</v>
      </c>
      <c r="B212" s="22"/>
      <c r="C212" s="25">
        <f>ROUND(16.35515625,4)</f>
        <v>16.3552</v>
      </c>
      <c r="D212" s="25">
        <f>F212</f>
        <v>16.3884</v>
      </c>
      <c r="E212" s="25">
        <f>F212</f>
        <v>16.3884</v>
      </c>
      <c r="F212" s="25">
        <f>ROUND(16.3884,4)</f>
        <v>16.3884</v>
      </c>
      <c r="G212" s="24"/>
      <c r="H212" s="36"/>
    </row>
    <row r="213" spans="1:8" ht="12.75" customHeight="1">
      <c r="A213" s="22">
        <v>43067</v>
      </c>
      <c r="B213" s="22"/>
      <c r="C213" s="25">
        <f>ROUND(16.35515625,4)</f>
        <v>16.3552</v>
      </c>
      <c r="D213" s="25">
        <f>F213</f>
        <v>16.4409</v>
      </c>
      <c r="E213" s="25">
        <f>F213</f>
        <v>16.4409</v>
      </c>
      <c r="F213" s="25">
        <f>ROUND(16.4409,4)</f>
        <v>16.4409</v>
      </c>
      <c r="G213" s="24"/>
      <c r="H213" s="36"/>
    </row>
    <row r="214" spans="1:8" ht="12.75" customHeight="1">
      <c r="A214" s="22">
        <v>43096</v>
      </c>
      <c r="B214" s="22"/>
      <c r="C214" s="25">
        <f>ROUND(16.35515625,4)</f>
        <v>16.3552</v>
      </c>
      <c r="D214" s="25">
        <f>F214</f>
        <v>16.5559</v>
      </c>
      <c r="E214" s="25">
        <f>F214</f>
        <v>16.5559</v>
      </c>
      <c r="F214" s="25">
        <f>ROUND(16.5559,4)</f>
        <v>16.5559</v>
      </c>
      <c r="G214" s="24"/>
      <c r="H214" s="36"/>
    </row>
    <row r="215" spans="1:8" ht="12.75" customHeight="1">
      <c r="A215" s="22">
        <v>43131</v>
      </c>
      <c r="B215" s="22"/>
      <c r="C215" s="25">
        <f>ROUND(16.35515625,4)</f>
        <v>16.3552</v>
      </c>
      <c r="D215" s="25">
        <f>F215</f>
        <v>16.6857</v>
      </c>
      <c r="E215" s="25">
        <f>F215</f>
        <v>16.6857</v>
      </c>
      <c r="F215" s="25">
        <f>ROUND(16.6857,4)</f>
        <v>16.6857</v>
      </c>
      <c r="G215" s="24"/>
      <c r="H215" s="36"/>
    </row>
    <row r="216" spans="1:8" ht="12.75" customHeight="1">
      <c r="A216" s="22" t="s">
        <v>60</v>
      </c>
      <c r="B216" s="22"/>
      <c r="C216" s="23"/>
      <c r="D216" s="23"/>
      <c r="E216" s="23"/>
      <c r="F216" s="23"/>
      <c r="G216" s="24"/>
      <c r="H216" s="36"/>
    </row>
    <row r="217" spans="1:8" ht="12.75" customHeight="1">
      <c r="A217" s="22">
        <v>43084</v>
      </c>
      <c r="B217" s="22"/>
      <c r="C217" s="25">
        <f>ROUND(18.663046875,4)</f>
        <v>18.663</v>
      </c>
      <c r="D217" s="25">
        <f>F217</f>
        <v>18.8185</v>
      </c>
      <c r="E217" s="25">
        <f>F217</f>
        <v>18.8185</v>
      </c>
      <c r="F217" s="25">
        <f>ROUND(18.8185,4)</f>
        <v>18.8185</v>
      </c>
      <c r="G217" s="24"/>
      <c r="H217" s="36"/>
    </row>
    <row r="218" spans="1:8" ht="12.75" customHeight="1">
      <c r="A218" s="22">
        <v>43131</v>
      </c>
      <c r="B218" s="22"/>
      <c r="C218" s="25">
        <f>ROUND(18.663046875,4)</f>
        <v>18.663</v>
      </c>
      <c r="D218" s="25">
        <f>F218</f>
        <v>18.9933</v>
      </c>
      <c r="E218" s="25">
        <f>F218</f>
        <v>18.9933</v>
      </c>
      <c r="F218" s="25">
        <f>ROUND(18.9933,4)</f>
        <v>18.9933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43042</v>
      </c>
      <c r="B220" s="22"/>
      <c r="C220" s="25">
        <f>ROUND(14.0625,4)</f>
        <v>14.0625</v>
      </c>
      <c r="D220" s="25">
        <f>F220</f>
        <v>14.0648</v>
      </c>
      <c r="E220" s="25">
        <f>F220</f>
        <v>14.0648</v>
      </c>
      <c r="F220" s="25">
        <f>ROUND(14.0648,4)</f>
        <v>14.0648</v>
      </c>
      <c r="G220" s="24"/>
      <c r="H220" s="36"/>
    </row>
    <row r="221" spans="1:8" ht="12.75" customHeight="1">
      <c r="A221" s="22">
        <v>43045</v>
      </c>
      <c r="B221" s="22"/>
      <c r="C221" s="25">
        <f>ROUND(14.0625,4)</f>
        <v>14.0625</v>
      </c>
      <c r="D221" s="25">
        <f>F221</f>
        <v>14.0695</v>
      </c>
      <c r="E221" s="25">
        <f>F221</f>
        <v>14.0695</v>
      </c>
      <c r="F221" s="25">
        <f>ROUND(14.0695,4)</f>
        <v>14.0695</v>
      </c>
      <c r="G221" s="24"/>
      <c r="H221" s="36"/>
    </row>
    <row r="222" spans="1:8" ht="12.75" customHeight="1">
      <c r="A222" s="22">
        <v>43048</v>
      </c>
      <c r="B222" s="22"/>
      <c r="C222" s="25">
        <f>ROUND(14.0625,4)</f>
        <v>14.0625</v>
      </c>
      <c r="D222" s="25">
        <f>F222</f>
        <v>14.0737</v>
      </c>
      <c r="E222" s="25">
        <f>F222</f>
        <v>14.0737</v>
      </c>
      <c r="F222" s="25">
        <f>ROUND(14.0737,4)</f>
        <v>14.0737</v>
      </c>
      <c r="G222" s="24"/>
      <c r="H222" s="36"/>
    </row>
    <row r="223" spans="1:8" ht="12.75" customHeight="1">
      <c r="A223" s="22">
        <v>43052</v>
      </c>
      <c r="B223" s="22"/>
      <c r="C223" s="25">
        <f>ROUND(14.0625,4)</f>
        <v>14.0625</v>
      </c>
      <c r="D223" s="25">
        <f>F223</f>
        <v>14.0792</v>
      </c>
      <c r="E223" s="25">
        <f>F223</f>
        <v>14.0792</v>
      </c>
      <c r="F223" s="25">
        <f>ROUND(14.0792,4)</f>
        <v>14.0792</v>
      </c>
      <c r="G223" s="24"/>
      <c r="H223" s="36"/>
    </row>
    <row r="224" spans="1:8" ht="12.75" customHeight="1">
      <c r="A224" s="22">
        <v>43055</v>
      </c>
      <c r="B224" s="22"/>
      <c r="C224" s="25">
        <f>ROUND(14.0625,4)</f>
        <v>14.0625</v>
      </c>
      <c r="D224" s="25">
        <f>F224</f>
        <v>14.0874</v>
      </c>
      <c r="E224" s="25">
        <f>F224</f>
        <v>14.0874</v>
      </c>
      <c r="F224" s="25">
        <f>ROUND(14.0874,4)</f>
        <v>14.0874</v>
      </c>
      <c r="G224" s="24"/>
      <c r="H224" s="36"/>
    </row>
    <row r="225" spans="1:8" ht="12.75" customHeight="1">
      <c r="A225" s="22">
        <v>43056</v>
      </c>
      <c r="B225" s="22"/>
      <c r="C225" s="25">
        <f>ROUND(14.0625,4)</f>
        <v>14.0625</v>
      </c>
      <c r="D225" s="25">
        <f>F225</f>
        <v>14.0901</v>
      </c>
      <c r="E225" s="25">
        <f>F225</f>
        <v>14.0901</v>
      </c>
      <c r="F225" s="25">
        <f>ROUND(14.0901,4)</f>
        <v>14.0901</v>
      </c>
      <c r="G225" s="24"/>
      <c r="H225" s="36"/>
    </row>
    <row r="226" spans="1:8" ht="12.75" customHeight="1">
      <c r="A226" s="22">
        <v>43067</v>
      </c>
      <c r="B226" s="22"/>
      <c r="C226" s="25">
        <f>ROUND(14.0625,4)</f>
        <v>14.0625</v>
      </c>
      <c r="D226" s="25">
        <f>F226</f>
        <v>14.1199</v>
      </c>
      <c r="E226" s="25">
        <f>F226</f>
        <v>14.1199</v>
      </c>
      <c r="F226" s="25">
        <f>ROUND(14.1199,4)</f>
        <v>14.1199</v>
      </c>
      <c r="G226" s="24"/>
      <c r="H226" s="36"/>
    </row>
    <row r="227" spans="1:8" ht="12.75" customHeight="1">
      <c r="A227" s="22">
        <v>43069</v>
      </c>
      <c r="B227" s="22"/>
      <c r="C227" s="25">
        <f>ROUND(14.0625,4)</f>
        <v>14.0625</v>
      </c>
      <c r="D227" s="25">
        <f>F227</f>
        <v>14.1253</v>
      </c>
      <c r="E227" s="25">
        <f>F227</f>
        <v>14.1253</v>
      </c>
      <c r="F227" s="25">
        <f>ROUND(14.1253,4)</f>
        <v>14.1253</v>
      </c>
      <c r="G227" s="24"/>
      <c r="H227" s="36"/>
    </row>
    <row r="228" spans="1:8" ht="12.75" customHeight="1">
      <c r="A228" s="22">
        <v>43073</v>
      </c>
      <c r="B228" s="22"/>
      <c r="C228" s="25">
        <f>ROUND(14.0625,4)</f>
        <v>14.0625</v>
      </c>
      <c r="D228" s="25">
        <f>F228</f>
        <v>14.1361</v>
      </c>
      <c r="E228" s="25">
        <f>F228</f>
        <v>14.1361</v>
      </c>
      <c r="F228" s="25">
        <f>ROUND(14.1361,4)</f>
        <v>14.1361</v>
      </c>
      <c r="G228" s="24"/>
      <c r="H228" s="36"/>
    </row>
    <row r="229" spans="1:8" ht="12.75" customHeight="1">
      <c r="A229" s="22">
        <v>43083</v>
      </c>
      <c r="B229" s="22"/>
      <c r="C229" s="25">
        <f>ROUND(14.0625,4)</f>
        <v>14.0625</v>
      </c>
      <c r="D229" s="25">
        <f>F229</f>
        <v>14.1596</v>
      </c>
      <c r="E229" s="25">
        <f>F229</f>
        <v>14.1596</v>
      </c>
      <c r="F229" s="25">
        <f>ROUND(14.1596,4)</f>
        <v>14.1596</v>
      </c>
      <c r="G229" s="24"/>
      <c r="H229" s="36"/>
    </row>
    <row r="230" spans="1:8" ht="12.75" customHeight="1">
      <c r="A230" s="22">
        <v>43084</v>
      </c>
      <c r="B230" s="22"/>
      <c r="C230" s="25">
        <f>ROUND(14.0625,4)</f>
        <v>14.0625</v>
      </c>
      <c r="D230" s="25">
        <f>F230</f>
        <v>14.1619</v>
      </c>
      <c r="E230" s="25">
        <f>F230</f>
        <v>14.1619</v>
      </c>
      <c r="F230" s="25">
        <f>ROUND(14.1619,4)</f>
        <v>14.1619</v>
      </c>
      <c r="G230" s="24"/>
      <c r="H230" s="36"/>
    </row>
    <row r="231" spans="1:8" ht="12.75" customHeight="1">
      <c r="A231" s="22">
        <v>43091</v>
      </c>
      <c r="B231" s="22"/>
      <c r="C231" s="25">
        <f>ROUND(14.0625,4)</f>
        <v>14.0625</v>
      </c>
      <c r="D231" s="25">
        <f>F231</f>
        <v>14.1784</v>
      </c>
      <c r="E231" s="25">
        <f>F231</f>
        <v>14.1784</v>
      </c>
      <c r="F231" s="25">
        <f>ROUND(14.1784,4)</f>
        <v>14.1784</v>
      </c>
      <c r="G231" s="24"/>
      <c r="H231" s="36"/>
    </row>
    <row r="232" spans="1:8" ht="12.75" customHeight="1">
      <c r="A232" s="22">
        <v>43096</v>
      </c>
      <c r="B232" s="22"/>
      <c r="C232" s="25">
        <f>ROUND(14.0625,4)</f>
        <v>14.0625</v>
      </c>
      <c r="D232" s="25">
        <f>F232</f>
        <v>14.1901</v>
      </c>
      <c r="E232" s="25">
        <f>F232</f>
        <v>14.1901</v>
      </c>
      <c r="F232" s="25">
        <f>ROUND(14.1901,4)</f>
        <v>14.1901</v>
      </c>
      <c r="G232" s="24"/>
      <c r="H232" s="36"/>
    </row>
    <row r="233" spans="1:8" ht="12.75" customHeight="1">
      <c r="A233" s="22">
        <v>43102</v>
      </c>
      <c r="B233" s="22"/>
      <c r="C233" s="25">
        <f>ROUND(14.0625,4)</f>
        <v>14.0625</v>
      </c>
      <c r="D233" s="25">
        <f>F233</f>
        <v>14.2042</v>
      </c>
      <c r="E233" s="25">
        <f>F233</f>
        <v>14.2042</v>
      </c>
      <c r="F233" s="25">
        <f>ROUND(14.2042,4)</f>
        <v>14.2042</v>
      </c>
      <c r="G233" s="24"/>
      <c r="H233" s="36"/>
    </row>
    <row r="234" spans="1:8" ht="12.75" customHeight="1">
      <c r="A234" s="22">
        <v>43104</v>
      </c>
      <c r="B234" s="22"/>
      <c r="C234" s="25">
        <f>ROUND(14.0625,4)</f>
        <v>14.0625</v>
      </c>
      <c r="D234" s="25">
        <f>F234</f>
        <v>14.2089</v>
      </c>
      <c r="E234" s="25">
        <f>F234</f>
        <v>14.2089</v>
      </c>
      <c r="F234" s="25">
        <f>ROUND(14.2089,4)</f>
        <v>14.2089</v>
      </c>
      <c r="G234" s="24"/>
      <c r="H234" s="36"/>
    </row>
    <row r="235" spans="1:8" ht="12.75" customHeight="1">
      <c r="A235" s="22">
        <v>43109</v>
      </c>
      <c r="B235" s="22"/>
      <c r="C235" s="25">
        <f>ROUND(14.0625,4)</f>
        <v>14.0625</v>
      </c>
      <c r="D235" s="25">
        <f>F235</f>
        <v>14.2204</v>
      </c>
      <c r="E235" s="25">
        <f>F235</f>
        <v>14.2204</v>
      </c>
      <c r="F235" s="25">
        <f>ROUND(14.2204,4)</f>
        <v>14.2204</v>
      </c>
      <c r="G235" s="24"/>
      <c r="H235" s="36"/>
    </row>
    <row r="236" spans="1:8" ht="12.75" customHeight="1">
      <c r="A236" s="22">
        <v>43110</v>
      </c>
      <c r="B236" s="22"/>
      <c r="C236" s="25">
        <f>ROUND(14.0625,4)</f>
        <v>14.0625</v>
      </c>
      <c r="D236" s="25">
        <f>F236</f>
        <v>14.2226</v>
      </c>
      <c r="E236" s="25">
        <f>F236</f>
        <v>14.2226</v>
      </c>
      <c r="F236" s="25">
        <f>ROUND(14.2226,4)</f>
        <v>14.2226</v>
      </c>
      <c r="G236" s="24"/>
      <c r="H236" s="36"/>
    </row>
    <row r="237" spans="1:8" ht="12.75" customHeight="1">
      <c r="A237" s="22">
        <v>43112</v>
      </c>
      <c r="B237" s="22"/>
      <c r="C237" s="25">
        <f>ROUND(14.0625,4)</f>
        <v>14.0625</v>
      </c>
      <c r="D237" s="25">
        <f>F237</f>
        <v>14.2272</v>
      </c>
      <c r="E237" s="25">
        <f>F237</f>
        <v>14.2272</v>
      </c>
      <c r="F237" s="25">
        <f>ROUND(14.2272,4)</f>
        <v>14.2272</v>
      </c>
      <c r="G237" s="24"/>
      <c r="H237" s="36"/>
    </row>
    <row r="238" spans="1:8" ht="12.75" customHeight="1">
      <c r="A238" s="22">
        <v>43118</v>
      </c>
      <c r="B238" s="22"/>
      <c r="C238" s="25">
        <f>ROUND(14.0625,4)</f>
        <v>14.0625</v>
      </c>
      <c r="D238" s="25">
        <f>F238</f>
        <v>14.241</v>
      </c>
      <c r="E238" s="25">
        <f>F238</f>
        <v>14.241</v>
      </c>
      <c r="F238" s="25">
        <f>ROUND(14.241,4)</f>
        <v>14.241</v>
      </c>
      <c r="G238" s="24"/>
      <c r="H238" s="36"/>
    </row>
    <row r="239" spans="1:8" ht="12.75" customHeight="1">
      <c r="A239" s="22">
        <v>43125</v>
      </c>
      <c r="B239" s="22"/>
      <c r="C239" s="25">
        <f>ROUND(14.0625,4)</f>
        <v>14.0625</v>
      </c>
      <c r="D239" s="25">
        <f>F239</f>
        <v>14.2571</v>
      </c>
      <c r="E239" s="25">
        <f>F239</f>
        <v>14.2571</v>
      </c>
      <c r="F239" s="25">
        <f>ROUND(14.2571,4)</f>
        <v>14.2571</v>
      </c>
      <c r="G239" s="24"/>
      <c r="H239" s="36"/>
    </row>
    <row r="240" spans="1:8" ht="12.75" customHeight="1">
      <c r="A240" s="22">
        <v>43131</v>
      </c>
      <c r="B240" s="22"/>
      <c r="C240" s="25">
        <f>ROUND(14.0625,4)</f>
        <v>14.0625</v>
      </c>
      <c r="D240" s="25">
        <f>F240</f>
        <v>14.2709</v>
      </c>
      <c r="E240" s="25">
        <f>F240</f>
        <v>14.2709</v>
      </c>
      <c r="F240" s="25">
        <f>ROUND(14.2709,4)</f>
        <v>14.2709</v>
      </c>
      <c r="G240" s="24"/>
      <c r="H240" s="36"/>
    </row>
    <row r="241" spans="1:8" ht="12.75" customHeight="1">
      <c r="A241" s="22">
        <v>43132</v>
      </c>
      <c r="B241" s="22"/>
      <c r="C241" s="25">
        <f>ROUND(14.0625,4)</f>
        <v>14.0625</v>
      </c>
      <c r="D241" s="25">
        <f>F241</f>
        <v>14.2732</v>
      </c>
      <c r="E241" s="25">
        <f>F241</f>
        <v>14.2732</v>
      </c>
      <c r="F241" s="25">
        <f>ROUND(14.2732,4)</f>
        <v>14.2732</v>
      </c>
      <c r="G241" s="24"/>
      <c r="H241" s="36"/>
    </row>
    <row r="242" spans="1:8" ht="12.75" customHeight="1">
      <c r="A242" s="22">
        <v>43144</v>
      </c>
      <c r="B242" s="22"/>
      <c r="C242" s="25">
        <f>ROUND(14.0625,4)</f>
        <v>14.0625</v>
      </c>
      <c r="D242" s="25">
        <f>F242</f>
        <v>14.3005</v>
      </c>
      <c r="E242" s="25">
        <f>F242</f>
        <v>14.3005</v>
      </c>
      <c r="F242" s="25">
        <f>ROUND(14.3005,4)</f>
        <v>14.3005</v>
      </c>
      <c r="G242" s="24"/>
      <c r="H242" s="36"/>
    </row>
    <row r="243" spans="1:8" ht="12.75" customHeight="1">
      <c r="A243" s="22">
        <v>43146</v>
      </c>
      <c r="B243" s="22"/>
      <c r="C243" s="25">
        <f>ROUND(14.0625,4)</f>
        <v>14.0625</v>
      </c>
      <c r="D243" s="25">
        <f>F243</f>
        <v>14.3051</v>
      </c>
      <c r="E243" s="25">
        <f>F243</f>
        <v>14.3051</v>
      </c>
      <c r="F243" s="25">
        <f>ROUND(14.3051,4)</f>
        <v>14.3051</v>
      </c>
      <c r="G243" s="24"/>
      <c r="H243" s="36"/>
    </row>
    <row r="244" spans="1:8" ht="12.75" customHeight="1">
      <c r="A244" s="22">
        <v>43214</v>
      </c>
      <c r="B244" s="22"/>
      <c r="C244" s="25">
        <f>ROUND(14.0625,4)</f>
        <v>14.0625</v>
      </c>
      <c r="D244" s="25">
        <f>F244</f>
        <v>14.4598</v>
      </c>
      <c r="E244" s="25">
        <f>F244</f>
        <v>14.4598</v>
      </c>
      <c r="F244" s="25">
        <f>ROUND(14.4598,4)</f>
        <v>14.4598</v>
      </c>
      <c r="G244" s="24"/>
      <c r="H244" s="36"/>
    </row>
    <row r="245" spans="1:8" ht="12.75" customHeight="1">
      <c r="A245" s="22">
        <v>43215</v>
      </c>
      <c r="B245" s="22"/>
      <c r="C245" s="25">
        <f>ROUND(14.0625,4)</f>
        <v>14.0625</v>
      </c>
      <c r="D245" s="25">
        <f>F245</f>
        <v>14.4621</v>
      </c>
      <c r="E245" s="25">
        <f>F245</f>
        <v>14.4621</v>
      </c>
      <c r="F245" s="25">
        <f>ROUND(14.4621,4)</f>
        <v>14.4621</v>
      </c>
      <c r="G245" s="24"/>
      <c r="H245" s="36"/>
    </row>
    <row r="246" spans="1:8" ht="12.75" customHeight="1">
      <c r="A246" s="22">
        <v>43220</v>
      </c>
      <c r="B246" s="22"/>
      <c r="C246" s="25">
        <f>ROUND(14.0625,4)</f>
        <v>14.0625</v>
      </c>
      <c r="D246" s="25">
        <f>F246</f>
        <v>14.4734</v>
      </c>
      <c r="E246" s="25">
        <f>F246</f>
        <v>14.4734</v>
      </c>
      <c r="F246" s="25">
        <f>ROUND(14.4734,4)</f>
        <v>14.4734</v>
      </c>
      <c r="G246" s="24"/>
      <c r="H246" s="36"/>
    </row>
    <row r="247" spans="1:8" ht="12.75" customHeight="1">
      <c r="A247" s="22">
        <v>43231</v>
      </c>
      <c r="B247" s="22"/>
      <c r="C247" s="25">
        <f>ROUND(14.0625,4)</f>
        <v>14.0625</v>
      </c>
      <c r="D247" s="25">
        <f>F247</f>
        <v>14.4985</v>
      </c>
      <c r="E247" s="25">
        <f>F247</f>
        <v>14.4985</v>
      </c>
      <c r="F247" s="25">
        <f>ROUND(14.4985,4)</f>
        <v>14.4985</v>
      </c>
      <c r="G247" s="24"/>
      <c r="H247" s="36"/>
    </row>
    <row r="248" spans="1:8" ht="12.75" customHeight="1">
      <c r="A248" s="22">
        <v>43235</v>
      </c>
      <c r="B248" s="22"/>
      <c r="C248" s="25">
        <f>ROUND(14.0625,4)</f>
        <v>14.0625</v>
      </c>
      <c r="D248" s="25">
        <f>F248</f>
        <v>14.5076</v>
      </c>
      <c r="E248" s="25">
        <f>F248</f>
        <v>14.5076</v>
      </c>
      <c r="F248" s="25">
        <f>ROUND(14.5076,4)</f>
        <v>14.5076</v>
      </c>
      <c r="G248" s="24"/>
      <c r="H248" s="36"/>
    </row>
    <row r="249" spans="1:8" ht="12.75" customHeight="1">
      <c r="A249" s="22">
        <v>43251</v>
      </c>
      <c r="B249" s="22"/>
      <c r="C249" s="25">
        <f>ROUND(14.0625,4)</f>
        <v>14.0625</v>
      </c>
      <c r="D249" s="25">
        <f>F249</f>
        <v>14.544</v>
      </c>
      <c r="E249" s="25">
        <f>F249</f>
        <v>14.544</v>
      </c>
      <c r="F249" s="25">
        <f>ROUND(14.544,4)</f>
        <v>14.544</v>
      </c>
      <c r="G249" s="24"/>
      <c r="H249" s="36"/>
    </row>
    <row r="250" spans="1:8" ht="12.75" customHeight="1">
      <c r="A250" s="22">
        <v>43280</v>
      </c>
      <c r="B250" s="22"/>
      <c r="C250" s="25">
        <f>ROUND(14.0625,4)</f>
        <v>14.0625</v>
      </c>
      <c r="D250" s="25">
        <f>F250</f>
        <v>14.61</v>
      </c>
      <c r="E250" s="25">
        <f>F250</f>
        <v>14.61</v>
      </c>
      <c r="F250" s="25">
        <f>ROUND(14.61,4)</f>
        <v>14.61</v>
      </c>
      <c r="G250" s="24"/>
      <c r="H250" s="36"/>
    </row>
    <row r="251" spans="1:8" ht="12.75" customHeight="1">
      <c r="A251" s="22">
        <v>43283</v>
      </c>
      <c r="B251" s="22"/>
      <c r="C251" s="25">
        <f>ROUND(14.0625,4)</f>
        <v>14.0625</v>
      </c>
      <c r="D251" s="25">
        <f>F251</f>
        <v>14.6168</v>
      </c>
      <c r="E251" s="25">
        <f>F251</f>
        <v>14.6168</v>
      </c>
      <c r="F251" s="25">
        <f>ROUND(14.6168,4)</f>
        <v>14.6168</v>
      </c>
      <c r="G251" s="24"/>
      <c r="H251" s="36"/>
    </row>
    <row r="252" spans="1:8" ht="12.75" customHeight="1">
      <c r="A252" s="22">
        <v>43301</v>
      </c>
      <c r="B252" s="22"/>
      <c r="C252" s="25">
        <f>ROUND(14.0625,4)</f>
        <v>14.0625</v>
      </c>
      <c r="D252" s="25">
        <f>F252</f>
        <v>14.6577</v>
      </c>
      <c r="E252" s="25">
        <f>F252</f>
        <v>14.6577</v>
      </c>
      <c r="F252" s="25">
        <f>ROUND(14.6577,4)</f>
        <v>14.6577</v>
      </c>
      <c r="G252" s="24"/>
      <c r="H252" s="36"/>
    </row>
    <row r="253" spans="1:8" ht="12.75" customHeight="1">
      <c r="A253" s="22">
        <v>43306</v>
      </c>
      <c r="B253" s="22"/>
      <c r="C253" s="25">
        <f>ROUND(14.0625,4)</f>
        <v>14.0625</v>
      </c>
      <c r="D253" s="25">
        <f>F253</f>
        <v>14.6691</v>
      </c>
      <c r="E253" s="25">
        <f>F253</f>
        <v>14.6691</v>
      </c>
      <c r="F253" s="25">
        <f>ROUND(14.6691,4)</f>
        <v>14.6691</v>
      </c>
      <c r="G253" s="24"/>
      <c r="H253" s="36"/>
    </row>
    <row r="254" spans="1:8" ht="12.75" customHeight="1">
      <c r="A254" s="22">
        <v>43312</v>
      </c>
      <c r="B254" s="22"/>
      <c r="C254" s="25">
        <f>ROUND(14.0625,4)</f>
        <v>14.0625</v>
      </c>
      <c r="D254" s="25">
        <f>F254</f>
        <v>14.6828</v>
      </c>
      <c r="E254" s="25">
        <f>F254</f>
        <v>14.6828</v>
      </c>
      <c r="F254" s="25">
        <f>ROUND(14.6828,4)</f>
        <v>14.6828</v>
      </c>
      <c r="G254" s="24"/>
      <c r="H254" s="36"/>
    </row>
    <row r="255" spans="1:8" ht="12.75" customHeight="1">
      <c r="A255" s="22">
        <v>43325</v>
      </c>
      <c r="B255" s="22"/>
      <c r="C255" s="25">
        <f>ROUND(14.0625,4)</f>
        <v>14.0625</v>
      </c>
      <c r="D255" s="25">
        <f>F255</f>
        <v>14.7128</v>
      </c>
      <c r="E255" s="25">
        <f>F255</f>
        <v>14.7128</v>
      </c>
      <c r="F255" s="25">
        <f>ROUND(14.7128,4)</f>
        <v>14.7128</v>
      </c>
      <c r="G255" s="24"/>
      <c r="H255" s="36"/>
    </row>
    <row r="256" spans="1:8" ht="12.75" customHeight="1">
      <c r="A256" s="22">
        <v>43343</v>
      </c>
      <c r="B256" s="22"/>
      <c r="C256" s="25">
        <f>ROUND(14.0625,4)</f>
        <v>14.0625</v>
      </c>
      <c r="D256" s="25">
        <f>F256</f>
        <v>14.7545</v>
      </c>
      <c r="E256" s="25">
        <f>F256</f>
        <v>14.7545</v>
      </c>
      <c r="F256" s="25">
        <f>ROUND(14.7545,4)</f>
        <v>14.7545</v>
      </c>
      <c r="G256" s="24"/>
      <c r="H256" s="36"/>
    </row>
    <row r="257" spans="1:8" ht="12.75" customHeight="1">
      <c r="A257" s="22">
        <v>43371</v>
      </c>
      <c r="B257" s="22"/>
      <c r="C257" s="25">
        <f>ROUND(14.0625,4)</f>
        <v>14.0625</v>
      </c>
      <c r="D257" s="25">
        <f>F257</f>
        <v>14.8194</v>
      </c>
      <c r="E257" s="25">
        <f>F257</f>
        <v>14.8194</v>
      </c>
      <c r="F257" s="25">
        <f>ROUND(14.8194,4)</f>
        <v>14.8194</v>
      </c>
      <c r="G257" s="24"/>
      <c r="H257" s="36"/>
    </row>
    <row r="258" spans="1:8" ht="12.75" customHeight="1">
      <c r="A258" s="22">
        <v>43398</v>
      </c>
      <c r="B258" s="22"/>
      <c r="C258" s="25">
        <f>ROUND(14.0625,4)</f>
        <v>14.0625</v>
      </c>
      <c r="D258" s="25">
        <f>F258</f>
        <v>14.882</v>
      </c>
      <c r="E258" s="25">
        <f>F258</f>
        <v>14.882</v>
      </c>
      <c r="F258" s="25">
        <f>ROUND(14.882,4)</f>
        <v>14.882</v>
      </c>
      <c r="G258" s="24"/>
      <c r="H258" s="36"/>
    </row>
    <row r="259" spans="1:8" ht="12.75" customHeight="1">
      <c r="A259" s="22">
        <v>43404</v>
      </c>
      <c r="B259" s="22"/>
      <c r="C259" s="25">
        <f>ROUND(14.0625,4)</f>
        <v>14.0625</v>
      </c>
      <c r="D259" s="25">
        <f>F259</f>
        <v>14.8959</v>
      </c>
      <c r="E259" s="25">
        <f>F259</f>
        <v>14.8959</v>
      </c>
      <c r="F259" s="25">
        <f>ROUND(14.8959,4)</f>
        <v>14.8959</v>
      </c>
      <c r="G259" s="24"/>
      <c r="H259" s="36"/>
    </row>
    <row r="260" spans="1:8" ht="12.75" customHeight="1">
      <c r="A260" s="22">
        <v>43417</v>
      </c>
      <c r="B260" s="22"/>
      <c r="C260" s="25">
        <f>ROUND(14.0625,4)</f>
        <v>14.0625</v>
      </c>
      <c r="D260" s="25">
        <f>F260</f>
        <v>14.9274</v>
      </c>
      <c r="E260" s="25">
        <f>F260</f>
        <v>14.9274</v>
      </c>
      <c r="F260" s="25">
        <f>ROUND(14.9274,4)</f>
        <v>14.9274</v>
      </c>
      <c r="G260" s="24"/>
      <c r="H260" s="36"/>
    </row>
    <row r="261" spans="1:8" ht="12.75" customHeight="1">
      <c r="A261" s="22">
        <v>43434</v>
      </c>
      <c r="B261" s="22"/>
      <c r="C261" s="25">
        <f>ROUND(14.0625,4)</f>
        <v>14.0625</v>
      </c>
      <c r="D261" s="25">
        <f>F261</f>
        <v>14.9697</v>
      </c>
      <c r="E261" s="25">
        <f>F261</f>
        <v>14.9697</v>
      </c>
      <c r="F261" s="25">
        <f>ROUND(14.9697,4)</f>
        <v>14.9697</v>
      </c>
      <c r="G261" s="24"/>
      <c r="H261" s="36"/>
    </row>
    <row r="262" spans="1:8" ht="12.75" customHeight="1">
      <c r="A262" s="22">
        <v>43465</v>
      </c>
      <c r="B262" s="22"/>
      <c r="C262" s="25">
        <f>ROUND(14.0625,4)</f>
        <v>14.0625</v>
      </c>
      <c r="D262" s="25">
        <f>F262</f>
        <v>15.0467</v>
      </c>
      <c r="E262" s="25">
        <f>F262</f>
        <v>15.0467</v>
      </c>
      <c r="F262" s="25">
        <f>ROUND(15.0467,4)</f>
        <v>15.0467</v>
      </c>
      <c r="G262" s="24"/>
      <c r="H262" s="36"/>
    </row>
    <row r="263" spans="1:8" ht="12.75" customHeight="1">
      <c r="A263" s="22">
        <v>43509</v>
      </c>
      <c r="B263" s="22"/>
      <c r="C263" s="25">
        <f>ROUND(14.0625,4)</f>
        <v>14.0625</v>
      </c>
      <c r="D263" s="25">
        <f>F263</f>
        <v>15.1561</v>
      </c>
      <c r="E263" s="25">
        <f>F263</f>
        <v>15.1561</v>
      </c>
      <c r="F263" s="25">
        <f>ROUND(15.1561,4)</f>
        <v>15.1561</v>
      </c>
      <c r="G263" s="24"/>
      <c r="H263" s="36"/>
    </row>
    <row r="264" spans="1:8" ht="12.75" customHeight="1">
      <c r="A264" s="22">
        <v>44040</v>
      </c>
      <c r="B264" s="22"/>
      <c r="C264" s="25">
        <f>ROUND(14.0625,4)</f>
        <v>14.0625</v>
      </c>
      <c r="D264" s="25">
        <f>F264</f>
        <v>16.5525</v>
      </c>
      <c r="E264" s="25">
        <f>F264</f>
        <v>16.5525</v>
      </c>
      <c r="F264" s="25">
        <f>ROUND(16.5525,4)</f>
        <v>16.5525</v>
      </c>
      <c r="G264" s="24"/>
      <c r="H264" s="36"/>
    </row>
    <row r="265" spans="1:8" ht="12.75" customHeight="1">
      <c r="A265" s="22" t="s">
        <v>62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43087</v>
      </c>
      <c r="B266" s="22"/>
      <c r="C266" s="25">
        <f>ROUND(1.16303333333333,4)</f>
        <v>1.163</v>
      </c>
      <c r="D266" s="25">
        <f>F266</f>
        <v>1.166</v>
      </c>
      <c r="E266" s="25">
        <f>F266</f>
        <v>1.166</v>
      </c>
      <c r="F266" s="25">
        <f>ROUND(1.166,4)</f>
        <v>1.166</v>
      </c>
      <c r="G266" s="24"/>
      <c r="H266" s="36"/>
    </row>
    <row r="267" spans="1:8" ht="12.75" customHeight="1">
      <c r="A267" s="22">
        <v>43178</v>
      </c>
      <c r="B267" s="22"/>
      <c r="C267" s="25">
        <f>ROUND(1.16303333333333,4)</f>
        <v>1.163</v>
      </c>
      <c r="D267" s="25">
        <f>F267</f>
        <v>1.1725</v>
      </c>
      <c r="E267" s="25">
        <f>F267</f>
        <v>1.1725</v>
      </c>
      <c r="F267" s="25">
        <f>ROUND(1.1725,4)</f>
        <v>1.1725</v>
      </c>
      <c r="G267" s="24"/>
      <c r="H267" s="36"/>
    </row>
    <row r="268" spans="1:8" ht="12.75" customHeight="1">
      <c r="A268" s="22">
        <v>43269</v>
      </c>
      <c r="B268" s="22"/>
      <c r="C268" s="25">
        <f>ROUND(1.16303333333333,4)</f>
        <v>1.163</v>
      </c>
      <c r="D268" s="25">
        <f>F268</f>
        <v>1.1793</v>
      </c>
      <c r="E268" s="25">
        <f>F268</f>
        <v>1.1793</v>
      </c>
      <c r="F268" s="25">
        <f>ROUND(1.1793,4)</f>
        <v>1.1793</v>
      </c>
      <c r="G268" s="24"/>
      <c r="H268" s="36"/>
    </row>
    <row r="269" spans="1:8" ht="12.75" customHeight="1">
      <c r="A269" s="22">
        <v>43360</v>
      </c>
      <c r="B269" s="22"/>
      <c r="C269" s="25">
        <f>ROUND(1.16303333333333,4)</f>
        <v>1.163</v>
      </c>
      <c r="D269" s="25">
        <f>F269</f>
        <v>1.1865</v>
      </c>
      <c r="E269" s="25">
        <f>F269</f>
        <v>1.1865</v>
      </c>
      <c r="F269" s="25">
        <f>ROUND(1.1865,4)</f>
        <v>1.1865</v>
      </c>
      <c r="G269" s="24"/>
      <c r="H269" s="36"/>
    </row>
    <row r="270" spans="1:8" ht="12.75" customHeight="1">
      <c r="A270" s="22" t="s">
        <v>63</v>
      </c>
      <c r="B270" s="22"/>
      <c r="C270" s="23"/>
      <c r="D270" s="23"/>
      <c r="E270" s="23"/>
      <c r="F270" s="23"/>
      <c r="G270" s="24"/>
      <c r="H270" s="36"/>
    </row>
    <row r="271" spans="1:8" ht="12.75" customHeight="1">
      <c r="A271" s="22">
        <v>43087</v>
      </c>
      <c r="B271" s="22"/>
      <c r="C271" s="25">
        <f>ROUND(1.32715,4)</f>
        <v>1.3272</v>
      </c>
      <c r="D271" s="25">
        <f>F271</f>
        <v>1.329</v>
      </c>
      <c r="E271" s="25">
        <f>F271</f>
        <v>1.329</v>
      </c>
      <c r="F271" s="25">
        <f>ROUND(1.329,4)</f>
        <v>1.329</v>
      </c>
      <c r="G271" s="24"/>
      <c r="H271" s="36"/>
    </row>
    <row r="272" spans="1:8" ht="12.75" customHeight="1">
      <c r="A272" s="22">
        <v>43178</v>
      </c>
      <c r="B272" s="22"/>
      <c r="C272" s="25">
        <f>ROUND(1.32715,4)</f>
        <v>1.3272</v>
      </c>
      <c r="D272" s="25">
        <f>F272</f>
        <v>1.3328</v>
      </c>
      <c r="E272" s="25">
        <f>F272</f>
        <v>1.3328</v>
      </c>
      <c r="F272" s="25">
        <f>ROUND(1.3328,4)</f>
        <v>1.3328</v>
      </c>
      <c r="G272" s="24"/>
      <c r="H272" s="36"/>
    </row>
    <row r="273" spans="1:8" ht="12.75" customHeight="1">
      <c r="A273" s="22">
        <v>43269</v>
      </c>
      <c r="B273" s="22"/>
      <c r="C273" s="25">
        <f>ROUND(1.32715,4)</f>
        <v>1.3272</v>
      </c>
      <c r="D273" s="25">
        <f>F273</f>
        <v>1.3365</v>
      </c>
      <c r="E273" s="25">
        <f>F273</f>
        <v>1.3365</v>
      </c>
      <c r="F273" s="25">
        <f>ROUND(1.3365,4)</f>
        <v>1.3365</v>
      </c>
      <c r="G273" s="24"/>
      <c r="H273" s="36"/>
    </row>
    <row r="274" spans="1:8" ht="12.75" customHeight="1">
      <c r="A274" s="22">
        <v>43360</v>
      </c>
      <c r="B274" s="22"/>
      <c r="C274" s="25">
        <f>ROUND(1.32715,4)</f>
        <v>1.3272</v>
      </c>
      <c r="D274" s="25">
        <f>F274</f>
        <v>1.3402</v>
      </c>
      <c r="E274" s="25">
        <f>F274</f>
        <v>1.3402</v>
      </c>
      <c r="F274" s="25">
        <f>ROUND(1.3402,4)</f>
        <v>1.3402</v>
      </c>
      <c r="G274" s="24"/>
      <c r="H274" s="36"/>
    </row>
    <row r="275" spans="1:8" ht="12.75" customHeight="1">
      <c r="A275" s="22" t="s">
        <v>64</v>
      </c>
      <c r="B275" s="22"/>
      <c r="C275" s="23"/>
      <c r="D275" s="23"/>
      <c r="E275" s="23"/>
      <c r="F275" s="23"/>
      <c r="G275" s="24"/>
      <c r="H275" s="36"/>
    </row>
    <row r="276" spans="1:8" ht="12.75" customHeight="1">
      <c r="A276" s="22">
        <v>43087</v>
      </c>
      <c r="B276" s="22"/>
      <c r="C276" s="25">
        <f>ROUND(10.804921875,4)</f>
        <v>10.8049</v>
      </c>
      <c r="D276" s="25">
        <f>F276</f>
        <v>10.8821</v>
      </c>
      <c r="E276" s="25">
        <f>F276</f>
        <v>10.8821</v>
      </c>
      <c r="F276" s="25">
        <f>ROUND(10.8821,4)</f>
        <v>10.8821</v>
      </c>
      <c r="G276" s="24"/>
      <c r="H276" s="36"/>
    </row>
    <row r="277" spans="1:8" ht="12.75" customHeight="1">
      <c r="A277" s="22">
        <v>43178</v>
      </c>
      <c r="B277" s="22"/>
      <c r="C277" s="25">
        <f>ROUND(10.804921875,4)</f>
        <v>10.8049</v>
      </c>
      <c r="D277" s="25">
        <f>F277</f>
        <v>11.0359</v>
      </c>
      <c r="E277" s="25">
        <f>F277</f>
        <v>11.0359</v>
      </c>
      <c r="F277" s="25">
        <f>ROUND(11.0359,4)</f>
        <v>11.0359</v>
      </c>
      <c r="G277" s="24"/>
      <c r="H277" s="36"/>
    </row>
    <row r="278" spans="1:8" ht="12.75" customHeight="1">
      <c r="A278" s="22">
        <v>43269</v>
      </c>
      <c r="B278" s="22"/>
      <c r="C278" s="25">
        <f>ROUND(10.804921875,4)</f>
        <v>10.8049</v>
      </c>
      <c r="D278" s="25">
        <f>F278</f>
        <v>11.1896</v>
      </c>
      <c r="E278" s="25">
        <f>F278</f>
        <v>11.1896</v>
      </c>
      <c r="F278" s="25">
        <f>ROUND(11.1896,4)</f>
        <v>11.1896</v>
      </c>
      <c r="G278" s="24"/>
      <c r="H278" s="36"/>
    </row>
    <row r="279" spans="1:8" ht="12.75" customHeight="1">
      <c r="A279" s="22">
        <v>43360</v>
      </c>
      <c r="B279" s="22"/>
      <c r="C279" s="25">
        <f>ROUND(10.804921875,4)</f>
        <v>10.8049</v>
      </c>
      <c r="D279" s="25">
        <f>F279</f>
        <v>11.3451</v>
      </c>
      <c r="E279" s="25">
        <f>F279</f>
        <v>11.3451</v>
      </c>
      <c r="F279" s="25">
        <f>ROUND(11.3451,4)</f>
        <v>11.3451</v>
      </c>
      <c r="G279" s="24"/>
      <c r="H279" s="36"/>
    </row>
    <row r="280" spans="1:8" ht="12.75" customHeight="1">
      <c r="A280" s="22">
        <v>43448</v>
      </c>
      <c r="B280" s="22"/>
      <c r="C280" s="25">
        <f>ROUND(10.804921875,4)</f>
        <v>10.8049</v>
      </c>
      <c r="D280" s="25">
        <f>F280</f>
        <v>11.5002</v>
      </c>
      <c r="E280" s="25">
        <f>F280</f>
        <v>11.5002</v>
      </c>
      <c r="F280" s="25">
        <f>ROUND(11.5002,4)</f>
        <v>11.5002</v>
      </c>
      <c r="G280" s="24"/>
      <c r="H280" s="36"/>
    </row>
    <row r="281" spans="1:8" ht="12.75" customHeight="1">
      <c r="A281" s="22">
        <v>43542</v>
      </c>
      <c r="B281" s="22"/>
      <c r="C281" s="25">
        <f>ROUND(10.804921875,4)</f>
        <v>10.8049</v>
      </c>
      <c r="D281" s="25">
        <f>F281</f>
        <v>11.6771</v>
      </c>
      <c r="E281" s="25">
        <f>F281</f>
        <v>11.6771</v>
      </c>
      <c r="F281" s="25">
        <f>ROUND(11.6771,4)</f>
        <v>11.6771</v>
      </c>
      <c r="G281" s="24"/>
      <c r="H281" s="36"/>
    </row>
    <row r="282" spans="1:8" ht="12.75" customHeight="1">
      <c r="A282" s="22">
        <v>43630</v>
      </c>
      <c r="B282" s="22"/>
      <c r="C282" s="25">
        <f>ROUND(10.804921875,4)</f>
        <v>10.8049</v>
      </c>
      <c r="D282" s="25">
        <f>F282</f>
        <v>11.8394</v>
      </c>
      <c r="E282" s="25">
        <f>F282</f>
        <v>11.8394</v>
      </c>
      <c r="F282" s="25">
        <f>ROUND(11.8394,4)</f>
        <v>11.8394</v>
      </c>
      <c r="G282" s="24"/>
      <c r="H282" s="36"/>
    </row>
    <row r="283" spans="1:8" ht="12.75" customHeight="1">
      <c r="A283" s="22">
        <v>43724</v>
      </c>
      <c r="B283" s="22"/>
      <c r="C283" s="25">
        <f>ROUND(10.804921875,4)</f>
        <v>10.8049</v>
      </c>
      <c r="D283" s="25">
        <f>F283</f>
        <v>12.0108</v>
      </c>
      <c r="E283" s="25">
        <f>F283</f>
        <v>12.0108</v>
      </c>
      <c r="F283" s="25">
        <f>ROUND(12.0108,4)</f>
        <v>12.0108</v>
      </c>
      <c r="G283" s="24"/>
      <c r="H283" s="36"/>
    </row>
    <row r="284" spans="1:8" ht="12.75" customHeight="1">
      <c r="A284" s="22" t="s">
        <v>65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43087</v>
      </c>
      <c r="B285" s="22"/>
      <c r="C285" s="25">
        <f>ROUND(3.82892694747733,4)</f>
        <v>3.8289</v>
      </c>
      <c r="D285" s="25">
        <f>F285</f>
        <v>4.2086</v>
      </c>
      <c r="E285" s="25">
        <f>F285</f>
        <v>4.2086</v>
      </c>
      <c r="F285" s="25">
        <f>ROUND(4.2086,4)</f>
        <v>4.2086</v>
      </c>
      <c r="G285" s="24"/>
      <c r="H285" s="36"/>
    </row>
    <row r="286" spans="1:8" ht="12.75" customHeight="1">
      <c r="A286" s="22">
        <v>43178</v>
      </c>
      <c r="B286" s="22"/>
      <c r="C286" s="25">
        <f>ROUND(3.82892694747733,4)</f>
        <v>3.8289</v>
      </c>
      <c r="D286" s="25">
        <f>F286</f>
        <v>4.2723</v>
      </c>
      <c r="E286" s="25">
        <f>F286</f>
        <v>4.2723</v>
      </c>
      <c r="F286" s="25">
        <f>ROUND(4.2723,4)</f>
        <v>4.2723</v>
      </c>
      <c r="G286" s="24"/>
      <c r="H286" s="36"/>
    </row>
    <row r="287" spans="1:8" ht="12.75" customHeight="1">
      <c r="A287" s="22">
        <v>43269</v>
      </c>
      <c r="B287" s="22"/>
      <c r="C287" s="25">
        <f>ROUND(3.82892694747733,4)</f>
        <v>3.8289</v>
      </c>
      <c r="D287" s="25">
        <f>F287</f>
        <v>4.3348</v>
      </c>
      <c r="E287" s="25">
        <f>F287</f>
        <v>4.3348</v>
      </c>
      <c r="F287" s="25">
        <f>ROUND(4.3348,4)</f>
        <v>4.3348</v>
      </c>
      <c r="G287" s="24"/>
      <c r="H287" s="36"/>
    </row>
    <row r="288" spans="1:8" ht="12.75" customHeight="1">
      <c r="A288" s="22" t="s">
        <v>66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43087</v>
      </c>
      <c r="B289" s="22"/>
      <c r="C289" s="25">
        <f>ROUND(1.333828125,4)</f>
        <v>1.3338</v>
      </c>
      <c r="D289" s="25">
        <f>F289</f>
        <v>1.341</v>
      </c>
      <c r="E289" s="25">
        <f>F289</f>
        <v>1.341</v>
      </c>
      <c r="F289" s="25">
        <f>ROUND(1.341,4)</f>
        <v>1.341</v>
      </c>
      <c r="G289" s="24"/>
      <c r="H289" s="36"/>
    </row>
    <row r="290" spans="1:8" ht="12.75" customHeight="1">
      <c r="A290" s="22">
        <v>43178</v>
      </c>
      <c r="B290" s="22"/>
      <c r="C290" s="25">
        <f>ROUND(1.333828125,4)</f>
        <v>1.3338</v>
      </c>
      <c r="D290" s="25">
        <f>F290</f>
        <v>1.3564</v>
      </c>
      <c r="E290" s="25">
        <f>F290</f>
        <v>1.3564</v>
      </c>
      <c r="F290" s="25">
        <f>ROUND(1.3564,4)</f>
        <v>1.3564</v>
      </c>
      <c r="G290" s="24"/>
      <c r="H290" s="36"/>
    </row>
    <row r="291" spans="1:8" ht="12.75" customHeight="1">
      <c r="A291" s="22">
        <v>43269</v>
      </c>
      <c r="B291" s="22"/>
      <c r="C291" s="25">
        <f>ROUND(1.333828125,4)</f>
        <v>1.3338</v>
      </c>
      <c r="D291" s="25">
        <f>F291</f>
        <v>1.3725</v>
      </c>
      <c r="E291" s="25">
        <f>F291</f>
        <v>1.3725</v>
      </c>
      <c r="F291" s="25">
        <f>ROUND(1.3725,4)</f>
        <v>1.3725</v>
      </c>
      <c r="G291" s="24"/>
      <c r="H291" s="36"/>
    </row>
    <row r="292" spans="1:8" ht="12.75" customHeight="1">
      <c r="A292" s="22">
        <v>43360</v>
      </c>
      <c r="B292" s="22"/>
      <c r="C292" s="25">
        <f>ROUND(1.333828125,4)</f>
        <v>1.3338</v>
      </c>
      <c r="D292" s="25">
        <f>F292</f>
        <v>1.378</v>
      </c>
      <c r="E292" s="25">
        <f>F292</f>
        <v>1.378</v>
      </c>
      <c r="F292" s="25">
        <f>ROUND(1.378,4)</f>
        <v>1.378</v>
      </c>
      <c r="G292" s="24"/>
      <c r="H292" s="36"/>
    </row>
    <row r="293" spans="1:8" ht="12.75" customHeight="1">
      <c r="A293" s="22">
        <v>43448</v>
      </c>
      <c r="B293" s="22"/>
      <c r="C293" s="25">
        <f>ROUND(1.333828125,4)</f>
        <v>1.3338</v>
      </c>
      <c r="D293" s="25">
        <f>F293</f>
        <v>1.4531</v>
      </c>
      <c r="E293" s="25">
        <f>F293</f>
        <v>1.4531</v>
      </c>
      <c r="F293" s="25">
        <f>ROUND(1.4531,4)</f>
        <v>1.4531</v>
      </c>
      <c r="G293" s="24"/>
      <c r="H293" s="36"/>
    </row>
    <row r="294" spans="1:8" ht="12.75" customHeight="1">
      <c r="A294" s="22">
        <v>43542</v>
      </c>
      <c r="B294" s="22"/>
      <c r="C294" s="25">
        <f>ROUND(1.333828125,4)</f>
        <v>1.3338</v>
      </c>
      <c r="D294" s="25">
        <f>F294</f>
        <v>1.4772</v>
      </c>
      <c r="E294" s="25">
        <f>F294</f>
        <v>1.4772</v>
      </c>
      <c r="F294" s="25">
        <f>ROUND(1.4772,4)</f>
        <v>1.4772</v>
      </c>
      <c r="G294" s="24"/>
      <c r="H294" s="36"/>
    </row>
    <row r="295" spans="1:8" ht="12.75" customHeight="1">
      <c r="A295" s="22">
        <v>43630</v>
      </c>
      <c r="B295" s="22"/>
      <c r="C295" s="25">
        <f>ROUND(1.333828125,4)</f>
        <v>1.3338</v>
      </c>
      <c r="D295" s="25">
        <f>F295</f>
        <v>1.4884</v>
      </c>
      <c r="E295" s="25">
        <f>F295</f>
        <v>1.4884</v>
      </c>
      <c r="F295" s="25">
        <f>ROUND(1.4884,4)</f>
        <v>1.4884</v>
      </c>
      <c r="G295" s="24"/>
      <c r="H295" s="36"/>
    </row>
    <row r="296" spans="1:8" ht="12.75" customHeight="1">
      <c r="A296" s="22">
        <v>43724</v>
      </c>
      <c r="B296" s="22"/>
      <c r="C296" s="25">
        <f>ROUND(1.333828125,4)</f>
        <v>1.3338</v>
      </c>
      <c r="D296" s="25">
        <f>F296</f>
        <v>1.4967</v>
      </c>
      <c r="E296" s="25">
        <f>F296</f>
        <v>1.4967</v>
      </c>
      <c r="F296" s="25">
        <f>ROUND(1.4967,4)</f>
        <v>1.4967</v>
      </c>
      <c r="G296" s="24"/>
      <c r="H296" s="36"/>
    </row>
    <row r="297" spans="1:8" ht="12.75" customHeight="1">
      <c r="A297" s="22" t="s">
        <v>67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43087</v>
      </c>
      <c r="B298" s="22"/>
      <c r="C298" s="25">
        <f>ROUND(10.910889552702,4)</f>
        <v>10.9109</v>
      </c>
      <c r="D298" s="25">
        <f>F298</f>
        <v>10.9982</v>
      </c>
      <c r="E298" s="25">
        <f>F298</f>
        <v>10.9982</v>
      </c>
      <c r="F298" s="25">
        <f>ROUND(10.9982,4)</f>
        <v>10.9982</v>
      </c>
      <c r="G298" s="24"/>
      <c r="H298" s="36"/>
    </row>
    <row r="299" spans="1:8" ht="12.75" customHeight="1">
      <c r="A299" s="22">
        <v>43178</v>
      </c>
      <c r="B299" s="22"/>
      <c r="C299" s="25">
        <f>ROUND(10.910889552702,4)</f>
        <v>10.9109</v>
      </c>
      <c r="D299" s="25">
        <f>F299</f>
        <v>11.1706</v>
      </c>
      <c r="E299" s="25">
        <f>F299</f>
        <v>11.1706</v>
      </c>
      <c r="F299" s="25">
        <f>ROUND(11.1706,4)</f>
        <v>11.1706</v>
      </c>
      <c r="G299" s="24"/>
      <c r="H299" s="36"/>
    </row>
    <row r="300" spans="1:8" ht="12.75" customHeight="1">
      <c r="A300" s="22">
        <v>43269</v>
      </c>
      <c r="B300" s="22"/>
      <c r="C300" s="25">
        <f>ROUND(10.910889552702,4)</f>
        <v>10.9109</v>
      </c>
      <c r="D300" s="25">
        <f>F300</f>
        <v>11.3408</v>
      </c>
      <c r="E300" s="25">
        <f>F300</f>
        <v>11.3408</v>
      </c>
      <c r="F300" s="25">
        <f>ROUND(11.3408,4)</f>
        <v>11.3408</v>
      </c>
      <c r="G300" s="24"/>
      <c r="H300" s="36"/>
    </row>
    <row r="301" spans="1:8" ht="12.75" customHeight="1">
      <c r="A301" s="22">
        <v>43360</v>
      </c>
      <c r="B301" s="22"/>
      <c r="C301" s="25">
        <f>ROUND(10.910889552702,4)</f>
        <v>10.9109</v>
      </c>
      <c r="D301" s="25">
        <f>F301</f>
        <v>11.3486</v>
      </c>
      <c r="E301" s="25">
        <f>F301</f>
        <v>11.3486</v>
      </c>
      <c r="F301" s="25">
        <f>ROUND(11.3486,4)</f>
        <v>11.3486</v>
      </c>
      <c r="G301" s="24"/>
      <c r="H301" s="36"/>
    </row>
    <row r="302" spans="1:8" ht="12.75" customHeight="1">
      <c r="A302" s="22">
        <v>43448</v>
      </c>
      <c r="B302" s="22"/>
      <c r="C302" s="25">
        <f>ROUND(10.910889552702,4)</f>
        <v>10.9109</v>
      </c>
      <c r="D302" s="25">
        <f>F302</f>
        <v>11.5181</v>
      </c>
      <c r="E302" s="25">
        <f>F302</f>
        <v>11.5181</v>
      </c>
      <c r="F302" s="25">
        <f>ROUND(11.5181,4)</f>
        <v>11.5181</v>
      </c>
      <c r="G302" s="24"/>
      <c r="H302" s="36"/>
    </row>
    <row r="303" spans="1:8" ht="12.75" customHeight="1">
      <c r="A303" s="22">
        <v>43542</v>
      </c>
      <c r="B303" s="22"/>
      <c r="C303" s="25">
        <f>ROUND(10.910889552702,4)</f>
        <v>10.9109</v>
      </c>
      <c r="D303" s="25">
        <f>F303</f>
        <v>11.6907</v>
      </c>
      <c r="E303" s="25">
        <f>F303</f>
        <v>11.6907</v>
      </c>
      <c r="F303" s="25">
        <f>ROUND(11.6907,4)</f>
        <v>11.6907</v>
      </c>
      <c r="G303" s="24"/>
      <c r="H303" s="36"/>
    </row>
    <row r="304" spans="1:8" ht="12.75" customHeight="1">
      <c r="A304" s="22">
        <v>43630</v>
      </c>
      <c r="B304" s="22"/>
      <c r="C304" s="25">
        <f>ROUND(10.910889552702,4)</f>
        <v>10.9109</v>
      </c>
      <c r="D304" s="25">
        <f>F304</f>
        <v>11.8231</v>
      </c>
      <c r="E304" s="25">
        <f>F304</f>
        <v>11.8231</v>
      </c>
      <c r="F304" s="25">
        <f>ROUND(11.8231,4)</f>
        <v>11.8231</v>
      </c>
      <c r="G304" s="24"/>
      <c r="H304" s="36"/>
    </row>
    <row r="305" spans="1:8" ht="12.75" customHeight="1">
      <c r="A305" s="22">
        <v>43724</v>
      </c>
      <c r="B305" s="22"/>
      <c r="C305" s="25">
        <f>ROUND(10.910889552702,4)</f>
        <v>10.9109</v>
      </c>
      <c r="D305" s="25">
        <f>F305</f>
        <v>11.9929</v>
      </c>
      <c r="E305" s="25">
        <f>F305</f>
        <v>11.9929</v>
      </c>
      <c r="F305" s="25">
        <f>ROUND(11.9929,4)</f>
        <v>11.9929</v>
      </c>
      <c r="G305" s="24"/>
      <c r="H305" s="36"/>
    </row>
    <row r="306" spans="1:8" ht="12.75" customHeight="1">
      <c r="A306" s="22" t="s">
        <v>68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43087</v>
      </c>
      <c r="B307" s="22"/>
      <c r="C307" s="25">
        <f>ROUND(2.14420290403372,4)</f>
        <v>2.1442</v>
      </c>
      <c r="D307" s="25">
        <f>F307</f>
        <v>2.1383</v>
      </c>
      <c r="E307" s="25">
        <f>F307</f>
        <v>2.1383</v>
      </c>
      <c r="F307" s="25">
        <f>ROUND(2.1383,4)</f>
        <v>2.1383</v>
      </c>
      <c r="G307" s="24"/>
      <c r="H307" s="36"/>
    </row>
    <row r="308" spans="1:8" ht="12.75" customHeight="1">
      <c r="A308" s="22">
        <v>43178</v>
      </c>
      <c r="B308" s="22"/>
      <c r="C308" s="25">
        <f>ROUND(2.14420290403372,4)</f>
        <v>2.1442</v>
      </c>
      <c r="D308" s="25">
        <f>F308</f>
        <v>2.1565</v>
      </c>
      <c r="E308" s="25">
        <f>F308</f>
        <v>2.1565</v>
      </c>
      <c r="F308" s="25">
        <f>ROUND(2.1565,4)</f>
        <v>2.1565</v>
      </c>
      <c r="G308" s="24"/>
      <c r="H308" s="36"/>
    </row>
    <row r="309" spans="1:8" ht="12.75" customHeight="1">
      <c r="A309" s="22">
        <v>43269</v>
      </c>
      <c r="B309" s="22"/>
      <c r="C309" s="25">
        <f>ROUND(2.14420290403372,4)</f>
        <v>2.1442</v>
      </c>
      <c r="D309" s="25">
        <f>F309</f>
        <v>2.1748</v>
      </c>
      <c r="E309" s="25">
        <f>F309</f>
        <v>2.1748</v>
      </c>
      <c r="F309" s="25">
        <f>ROUND(2.1748,4)</f>
        <v>2.1748</v>
      </c>
      <c r="G309" s="24"/>
      <c r="H309" s="36"/>
    </row>
    <row r="310" spans="1:8" ht="12.75" customHeight="1">
      <c r="A310" s="22">
        <v>43360</v>
      </c>
      <c r="B310" s="22"/>
      <c r="C310" s="25">
        <f>ROUND(2.14420290403372,4)</f>
        <v>2.1442</v>
      </c>
      <c r="D310" s="25">
        <f>F310</f>
        <v>2.1938</v>
      </c>
      <c r="E310" s="25">
        <f>F310</f>
        <v>2.1938</v>
      </c>
      <c r="F310" s="25">
        <f>ROUND(2.1938,4)</f>
        <v>2.1938</v>
      </c>
      <c r="G310" s="24"/>
      <c r="H310" s="36"/>
    </row>
    <row r="311" spans="1:8" ht="12.75" customHeight="1">
      <c r="A311" s="22">
        <v>43448</v>
      </c>
      <c r="B311" s="22"/>
      <c r="C311" s="25">
        <f>ROUND(2.14420290403372,4)</f>
        <v>2.1442</v>
      </c>
      <c r="D311" s="25">
        <f>F311</f>
        <v>2.2134</v>
      </c>
      <c r="E311" s="25">
        <f>F311</f>
        <v>2.2134</v>
      </c>
      <c r="F311" s="25">
        <f>ROUND(2.2134,4)</f>
        <v>2.2134</v>
      </c>
      <c r="G311" s="24"/>
      <c r="H311" s="36"/>
    </row>
    <row r="312" spans="1:8" ht="12.75" customHeight="1">
      <c r="A312" s="22">
        <v>43542</v>
      </c>
      <c r="B312" s="22"/>
      <c r="C312" s="25">
        <f>ROUND(2.14420290403372,4)</f>
        <v>2.1442</v>
      </c>
      <c r="D312" s="25">
        <f>F312</f>
        <v>2.2355</v>
      </c>
      <c r="E312" s="25">
        <f>F312</f>
        <v>2.2355</v>
      </c>
      <c r="F312" s="25">
        <f>ROUND(2.2355,4)</f>
        <v>2.2355</v>
      </c>
      <c r="G312" s="24"/>
      <c r="H312" s="36"/>
    </row>
    <row r="313" spans="1:8" ht="12.75" customHeight="1">
      <c r="A313" s="22">
        <v>43630</v>
      </c>
      <c r="B313" s="22"/>
      <c r="C313" s="25">
        <f>ROUND(2.14420290403372,4)</f>
        <v>2.1442</v>
      </c>
      <c r="D313" s="25">
        <f>F313</f>
        <v>2.256</v>
      </c>
      <c r="E313" s="25">
        <f>F313</f>
        <v>2.256</v>
      </c>
      <c r="F313" s="25">
        <f>ROUND(2.256,4)</f>
        <v>2.256</v>
      </c>
      <c r="G313" s="24"/>
      <c r="H313" s="36"/>
    </row>
    <row r="314" spans="1:8" ht="12.75" customHeight="1">
      <c r="A314" s="22">
        <v>43724</v>
      </c>
      <c r="B314" s="22"/>
      <c r="C314" s="25">
        <f>ROUND(2.14420290403372,4)</f>
        <v>2.1442</v>
      </c>
      <c r="D314" s="25">
        <f>F314</f>
        <v>2.2776</v>
      </c>
      <c r="E314" s="25">
        <f>F314</f>
        <v>2.2776</v>
      </c>
      <c r="F314" s="25">
        <f>ROUND(2.2776,4)</f>
        <v>2.2776</v>
      </c>
      <c r="G314" s="24"/>
      <c r="H314" s="36"/>
    </row>
    <row r="315" spans="1:8" ht="12.75" customHeight="1">
      <c r="A315" s="22" t="s">
        <v>69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43087</v>
      </c>
      <c r="B316" s="22"/>
      <c r="C316" s="25">
        <f>ROUND(2.1981586269422,4)</f>
        <v>2.1982</v>
      </c>
      <c r="D316" s="25">
        <f>F316</f>
        <v>2.2347</v>
      </c>
      <c r="E316" s="25">
        <f>F316</f>
        <v>2.2347</v>
      </c>
      <c r="F316" s="25">
        <f>ROUND(2.2347,4)</f>
        <v>2.2347</v>
      </c>
      <c r="G316" s="24"/>
      <c r="H316" s="36"/>
    </row>
    <row r="317" spans="1:8" ht="12.75" customHeight="1">
      <c r="A317" s="22">
        <v>43178</v>
      </c>
      <c r="B317" s="22"/>
      <c r="C317" s="25">
        <f>ROUND(2.1981586269422,4)</f>
        <v>2.1982</v>
      </c>
      <c r="D317" s="25">
        <f>F317</f>
        <v>2.2812</v>
      </c>
      <c r="E317" s="25">
        <f>F317</f>
        <v>2.2812</v>
      </c>
      <c r="F317" s="25">
        <f>ROUND(2.2812,4)</f>
        <v>2.2812</v>
      </c>
      <c r="G317" s="24"/>
      <c r="H317" s="36"/>
    </row>
    <row r="318" spans="1:8" ht="12.75" customHeight="1">
      <c r="A318" s="22">
        <v>43269</v>
      </c>
      <c r="B318" s="22"/>
      <c r="C318" s="25">
        <f>ROUND(2.1981586269422,4)</f>
        <v>2.1982</v>
      </c>
      <c r="D318" s="25">
        <f>F318</f>
        <v>2.3292</v>
      </c>
      <c r="E318" s="25">
        <f>F318</f>
        <v>2.3292</v>
      </c>
      <c r="F318" s="25">
        <f>ROUND(2.3292,4)</f>
        <v>2.3292</v>
      </c>
      <c r="G318" s="24"/>
      <c r="H318" s="36"/>
    </row>
    <row r="319" spans="1:8" ht="12.75" customHeight="1">
      <c r="A319" s="22">
        <v>43360</v>
      </c>
      <c r="B319" s="22"/>
      <c r="C319" s="25">
        <f>ROUND(2.1981586269422,4)</f>
        <v>2.1982</v>
      </c>
      <c r="D319" s="25">
        <f>F319</f>
        <v>2.3739</v>
      </c>
      <c r="E319" s="25">
        <f>F319</f>
        <v>2.3739</v>
      </c>
      <c r="F319" s="25">
        <f>ROUND(2.3739,4)</f>
        <v>2.3739</v>
      </c>
      <c r="G319" s="24"/>
      <c r="H319" s="36"/>
    </row>
    <row r="320" spans="1:8" ht="12.75" customHeight="1">
      <c r="A320" s="22">
        <v>43448</v>
      </c>
      <c r="B320" s="22"/>
      <c r="C320" s="25">
        <f>ROUND(2.1981586269422,4)</f>
        <v>2.1982</v>
      </c>
      <c r="D320" s="25">
        <f>F320</f>
        <v>2.5322</v>
      </c>
      <c r="E320" s="25">
        <f>F320</f>
        <v>2.5322</v>
      </c>
      <c r="F320" s="25">
        <f>ROUND(2.5322,4)</f>
        <v>2.5322</v>
      </c>
      <c r="G320" s="24"/>
      <c r="H320" s="36"/>
    </row>
    <row r="321" spans="1:8" ht="12.75" customHeight="1">
      <c r="A321" s="22">
        <v>43542</v>
      </c>
      <c r="B321" s="22"/>
      <c r="C321" s="25">
        <f>ROUND(2.1981586269422,4)</f>
        <v>2.1982</v>
      </c>
      <c r="D321" s="25">
        <f>F321</f>
        <v>2.5925</v>
      </c>
      <c r="E321" s="25">
        <f>F321</f>
        <v>2.5925</v>
      </c>
      <c r="F321" s="25">
        <f>ROUND(2.5925,4)</f>
        <v>2.5925</v>
      </c>
      <c r="G321" s="24"/>
      <c r="H321" s="36"/>
    </row>
    <row r="322" spans="1:8" ht="12.75" customHeight="1">
      <c r="A322" s="22">
        <v>43630</v>
      </c>
      <c r="B322" s="22"/>
      <c r="C322" s="25">
        <f>ROUND(2.1981586269422,4)</f>
        <v>2.1982</v>
      </c>
      <c r="D322" s="25">
        <f>F322</f>
        <v>2.6574</v>
      </c>
      <c r="E322" s="25">
        <f>F322</f>
        <v>2.6574</v>
      </c>
      <c r="F322" s="25">
        <f>ROUND(2.6574,4)</f>
        <v>2.6574</v>
      </c>
      <c r="G322" s="24"/>
      <c r="H322" s="36"/>
    </row>
    <row r="323" spans="1:8" ht="12.75" customHeight="1">
      <c r="A323" s="22">
        <v>43724</v>
      </c>
      <c r="B323" s="22"/>
      <c r="C323" s="25">
        <f>ROUND(2.1981586269422,4)</f>
        <v>2.1982</v>
      </c>
      <c r="D323" s="25">
        <f>F323</f>
        <v>2.7223</v>
      </c>
      <c r="E323" s="25">
        <f>F323</f>
        <v>2.7223</v>
      </c>
      <c r="F323" s="25">
        <f>ROUND(2.7223,4)</f>
        <v>2.7223</v>
      </c>
      <c r="G323" s="24"/>
      <c r="H323" s="36"/>
    </row>
    <row r="324" spans="1:8" ht="12.75" customHeight="1">
      <c r="A324" s="22" t="s">
        <v>70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43087</v>
      </c>
      <c r="B325" s="22"/>
      <c r="C325" s="25">
        <f>ROUND(16.35515625,4)</f>
        <v>16.3552</v>
      </c>
      <c r="D325" s="25">
        <f>F325</f>
        <v>16.5212</v>
      </c>
      <c r="E325" s="25">
        <f>F325</f>
        <v>16.5212</v>
      </c>
      <c r="F325" s="25">
        <f>ROUND(16.5212,4)</f>
        <v>16.5212</v>
      </c>
      <c r="G325" s="24"/>
      <c r="H325" s="36"/>
    </row>
    <row r="326" spans="1:8" ht="12.75" customHeight="1">
      <c r="A326" s="22">
        <v>43178</v>
      </c>
      <c r="B326" s="22"/>
      <c r="C326" s="25">
        <f>ROUND(16.35515625,4)</f>
        <v>16.3552</v>
      </c>
      <c r="D326" s="25">
        <f>F326</f>
        <v>16.8586</v>
      </c>
      <c r="E326" s="25">
        <f>F326</f>
        <v>16.8586</v>
      </c>
      <c r="F326" s="25">
        <f>ROUND(16.8586,4)</f>
        <v>16.8586</v>
      </c>
      <c r="G326" s="24"/>
      <c r="H326" s="36"/>
    </row>
    <row r="327" spans="1:8" ht="12.75" customHeight="1">
      <c r="A327" s="22">
        <v>43269</v>
      </c>
      <c r="B327" s="22"/>
      <c r="C327" s="25">
        <f>ROUND(16.35515625,4)</f>
        <v>16.3552</v>
      </c>
      <c r="D327" s="25">
        <f>F327</f>
        <v>17.2004</v>
      </c>
      <c r="E327" s="25">
        <f>F327</f>
        <v>17.2004</v>
      </c>
      <c r="F327" s="25">
        <f>ROUND(17.2004,4)</f>
        <v>17.2004</v>
      </c>
      <c r="G327" s="24"/>
      <c r="H327" s="36"/>
    </row>
    <row r="328" spans="1:8" ht="12.75" customHeight="1">
      <c r="A328" s="22">
        <v>43360</v>
      </c>
      <c r="B328" s="22"/>
      <c r="C328" s="25">
        <f>ROUND(16.35515625,4)</f>
        <v>16.3552</v>
      </c>
      <c r="D328" s="25">
        <f>F328</f>
        <v>17.553</v>
      </c>
      <c r="E328" s="25">
        <f>F328</f>
        <v>17.553</v>
      </c>
      <c r="F328" s="25">
        <f>ROUND(17.553,4)</f>
        <v>17.553</v>
      </c>
      <c r="G328" s="24"/>
      <c r="H328" s="36"/>
    </row>
    <row r="329" spans="1:8" ht="12.75" customHeight="1">
      <c r="A329" s="22">
        <v>43448</v>
      </c>
      <c r="B329" s="22"/>
      <c r="C329" s="25">
        <f>ROUND(16.35515625,4)</f>
        <v>16.3552</v>
      </c>
      <c r="D329" s="25">
        <f>F329</f>
        <v>17.8875</v>
      </c>
      <c r="E329" s="25">
        <f>F329</f>
        <v>17.8875</v>
      </c>
      <c r="F329" s="25">
        <f>ROUND(17.8875,4)</f>
        <v>17.8875</v>
      </c>
      <c r="G329" s="24"/>
      <c r="H329" s="36"/>
    </row>
    <row r="330" spans="1:8" ht="12.75" customHeight="1">
      <c r="A330" s="22">
        <v>43542</v>
      </c>
      <c r="B330" s="22"/>
      <c r="C330" s="25">
        <f>ROUND(16.35515625,4)</f>
        <v>16.3552</v>
      </c>
      <c r="D330" s="25">
        <f>F330</f>
        <v>18.2816</v>
      </c>
      <c r="E330" s="25">
        <f>F330</f>
        <v>18.2816</v>
      </c>
      <c r="F330" s="25">
        <f>ROUND(18.2816,4)</f>
        <v>18.2816</v>
      </c>
      <c r="G330" s="24"/>
      <c r="H330" s="36"/>
    </row>
    <row r="331" spans="1:8" ht="12.75" customHeight="1">
      <c r="A331" s="22">
        <v>43630</v>
      </c>
      <c r="B331" s="22"/>
      <c r="C331" s="25">
        <f>ROUND(16.35515625,4)</f>
        <v>16.3552</v>
      </c>
      <c r="D331" s="25">
        <f>F331</f>
        <v>18.7181</v>
      </c>
      <c r="E331" s="25">
        <f>F331</f>
        <v>18.7181</v>
      </c>
      <c r="F331" s="25">
        <f>ROUND(18.7181,4)</f>
        <v>18.7181</v>
      </c>
      <c r="G331" s="24"/>
      <c r="H331" s="36"/>
    </row>
    <row r="332" spans="1:8" ht="12.75" customHeight="1">
      <c r="A332" s="22">
        <v>43724</v>
      </c>
      <c r="B332" s="22"/>
      <c r="C332" s="25">
        <f>ROUND(16.35515625,4)</f>
        <v>16.3552</v>
      </c>
      <c r="D332" s="25">
        <f>F332</f>
        <v>19.1897</v>
      </c>
      <c r="E332" s="25">
        <f>F332</f>
        <v>19.1897</v>
      </c>
      <c r="F332" s="25">
        <f>ROUND(19.1897,4)</f>
        <v>19.1897</v>
      </c>
      <c r="G332" s="24"/>
      <c r="H332" s="36"/>
    </row>
    <row r="333" spans="1:8" ht="12.75" customHeight="1">
      <c r="A333" s="22" t="s">
        <v>71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43087</v>
      </c>
      <c r="B334" s="22"/>
      <c r="C334" s="25">
        <f>ROUND(14.0512589928058,4)</f>
        <v>14.0513</v>
      </c>
      <c r="D334" s="25">
        <f>F334</f>
        <v>14.2015</v>
      </c>
      <c r="E334" s="25">
        <f>F334</f>
        <v>14.2015</v>
      </c>
      <c r="F334" s="25">
        <f>ROUND(14.2015,4)</f>
        <v>14.2015</v>
      </c>
      <c r="G334" s="24"/>
      <c r="H334" s="36"/>
    </row>
    <row r="335" spans="1:8" ht="12.75" customHeight="1">
      <c r="A335" s="22">
        <v>43178</v>
      </c>
      <c r="B335" s="22"/>
      <c r="C335" s="25">
        <f>ROUND(14.0512589928058,4)</f>
        <v>14.0513</v>
      </c>
      <c r="D335" s="25">
        <f>F335</f>
        <v>14.5072</v>
      </c>
      <c r="E335" s="25">
        <f>F335</f>
        <v>14.5072</v>
      </c>
      <c r="F335" s="25">
        <f>ROUND(14.5072,4)</f>
        <v>14.5072</v>
      </c>
      <c r="G335" s="24"/>
      <c r="H335" s="36"/>
    </row>
    <row r="336" spans="1:8" ht="12.75" customHeight="1">
      <c r="A336" s="22">
        <v>43269</v>
      </c>
      <c r="B336" s="22"/>
      <c r="C336" s="25">
        <f>ROUND(14.0512589928058,4)</f>
        <v>14.0513</v>
      </c>
      <c r="D336" s="25">
        <f>F336</f>
        <v>14.8168</v>
      </c>
      <c r="E336" s="25">
        <f>F336</f>
        <v>14.8168</v>
      </c>
      <c r="F336" s="25">
        <f>ROUND(14.8168,4)</f>
        <v>14.8168</v>
      </c>
      <c r="G336" s="24"/>
      <c r="H336" s="36"/>
    </row>
    <row r="337" spans="1:8" ht="12.75" customHeight="1">
      <c r="A337" s="22">
        <v>43360</v>
      </c>
      <c r="B337" s="22"/>
      <c r="C337" s="25">
        <f>ROUND(14.0512589928058,4)</f>
        <v>14.0513</v>
      </c>
      <c r="D337" s="25">
        <f>F337</f>
        <v>15.1341</v>
      </c>
      <c r="E337" s="25">
        <f>F337</f>
        <v>15.1341</v>
      </c>
      <c r="F337" s="25">
        <f>ROUND(15.1341,4)</f>
        <v>15.1341</v>
      </c>
      <c r="G337" s="24"/>
      <c r="H337" s="36"/>
    </row>
    <row r="338" spans="1:8" ht="12.75" customHeight="1">
      <c r="A338" s="22">
        <v>43448</v>
      </c>
      <c r="B338" s="22"/>
      <c r="C338" s="25">
        <f>ROUND(14.0512589928058,4)</f>
        <v>14.0513</v>
      </c>
      <c r="D338" s="25">
        <f>F338</f>
        <v>15.4307</v>
      </c>
      <c r="E338" s="25">
        <f>F338</f>
        <v>15.4307</v>
      </c>
      <c r="F338" s="25">
        <f>ROUND(15.4307,4)</f>
        <v>15.4307</v>
      </c>
      <c r="G338" s="24"/>
      <c r="H338" s="36"/>
    </row>
    <row r="339" spans="1:8" ht="12.75" customHeight="1">
      <c r="A339" s="22">
        <v>43542</v>
      </c>
      <c r="B339" s="22"/>
      <c r="C339" s="25">
        <f>ROUND(14.0512589928058,4)</f>
        <v>14.0513</v>
      </c>
      <c r="D339" s="25">
        <f>F339</f>
        <v>16.1948</v>
      </c>
      <c r="E339" s="25">
        <f>F339</f>
        <v>16.1948</v>
      </c>
      <c r="F339" s="25">
        <f>ROUND(16.1948,4)</f>
        <v>16.1948</v>
      </c>
      <c r="G339" s="24"/>
      <c r="H339" s="36"/>
    </row>
    <row r="340" spans="1:8" ht="12.75" customHeight="1">
      <c r="A340" s="22">
        <v>43630</v>
      </c>
      <c r="B340" s="22"/>
      <c r="C340" s="25">
        <f>ROUND(14.0512589928058,4)</f>
        <v>14.0513</v>
      </c>
      <c r="D340" s="25">
        <f>F340</f>
        <v>16.4879</v>
      </c>
      <c r="E340" s="25">
        <f>F340</f>
        <v>16.4879</v>
      </c>
      <c r="F340" s="25">
        <f>ROUND(16.4879,4)</f>
        <v>16.4879</v>
      </c>
      <c r="G340" s="24"/>
      <c r="H340" s="36"/>
    </row>
    <row r="341" spans="1:8" ht="12.75" customHeight="1">
      <c r="A341" s="22">
        <v>43724</v>
      </c>
      <c r="B341" s="22"/>
      <c r="C341" s="25">
        <f>ROUND(14.0512589928058,4)</f>
        <v>14.0513</v>
      </c>
      <c r="D341" s="25">
        <f>F341</f>
        <v>16.8188</v>
      </c>
      <c r="E341" s="25">
        <f>F341</f>
        <v>16.8188</v>
      </c>
      <c r="F341" s="25">
        <f>ROUND(16.8188,4)</f>
        <v>16.8188</v>
      </c>
      <c r="G341" s="24"/>
      <c r="H341" s="36"/>
    </row>
    <row r="342" spans="1:8" ht="12.75" customHeight="1">
      <c r="A342" s="22" t="s">
        <v>72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43087</v>
      </c>
      <c r="B343" s="22"/>
      <c r="C343" s="25">
        <f>ROUND(18.663046875,4)</f>
        <v>18.663</v>
      </c>
      <c r="D343" s="25">
        <f>F343</f>
        <v>18.8301</v>
      </c>
      <c r="E343" s="25">
        <f>F343</f>
        <v>18.8301</v>
      </c>
      <c r="F343" s="25">
        <f>ROUND(18.8301,4)</f>
        <v>18.8301</v>
      </c>
      <c r="G343" s="24"/>
      <c r="H343" s="36"/>
    </row>
    <row r="344" spans="1:8" ht="12.75" customHeight="1">
      <c r="A344" s="22">
        <v>43178</v>
      </c>
      <c r="B344" s="22"/>
      <c r="C344" s="25">
        <f>ROUND(18.663046875,4)</f>
        <v>18.663</v>
      </c>
      <c r="D344" s="25">
        <f>F344</f>
        <v>19.1629</v>
      </c>
      <c r="E344" s="25">
        <f>F344</f>
        <v>19.1629</v>
      </c>
      <c r="F344" s="25">
        <f>ROUND(19.1629,4)</f>
        <v>19.1629</v>
      </c>
      <c r="G344" s="24"/>
      <c r="H344" s="36"/>
    </row>
    <row r="345" spans="1:8" ht="12.75" customHeight="1">
      <c r="A345" s="22">
        <v>43269</v>
      </c>
      <c r="B345" s="22"/>
      <c r="C345" s="25">
        <f>ROUND(18.663046875,4)</f>
        <v>18.663</v>
      </c>
      <c r="D345" s="25">
        <f>F345</f>
        <v>19.4928</v>
      </c>
      <c r="E345" s="25">
        <f>F345</f>
        <v>19.4928</v>
      </c>
      <c r="F345" s="25">
        <f>ROUND(19.4928,4)</f>
        <v>19.4928</v>
      </c>
      <c r="G345" s="24"/>
      <c r="H345" s="36"/>
    </row>
    <row r="346" spans="1:8" ht="12.75" customHeight="1">
      <c r="A346" s="22">
        <v>43360</v>
      </c>
      <c r="B346" s="22"/>
      <c r="C346" s="25">
        <f>ROUND(18.663046875,4)</f>
        <v>18.663</v>
      </c>
      <c r="D346" s="25">
        <f>F346</f>
        <v>19.8269</v>
      </c>
      <c r="E346" s="25">
        <f>F346</f>
        <v>19.8269</v>
      </c>
      <c r="F346" s="25">
        <f>ROUND(19.8269,4)</f>
        <v>19.8269</v>
      </c>
      <c r="G346" s="24"/>
      <c r="H346" s="36"/>
    </row>
    <row r="347" spans="1:8" ht="12.75" customHeight="1">
      <c r="A347" s="22">
        <v>43448</v>
      </c>
      <c r="B347" s="22"/>
      <c r="C347" s="25">
        <f>ROUND(18.663046875,4)</f>
        <v>18.663</v>
      </c>
      <c r="D347" s="25">
        <f>F347</f>
        <v>20.1634</v>
      </c>
      <c r="E347" s="25">
        <f>F347</f>
        <v>20.1634</v>
      </c>
      <c r="F347" s="25">
        <f>ROUND(20.1634,4)</f>
        <v>20.1634</v>
      </c>
      <c r="G347" s="24"/>
      <c r="H347" s="36"/>
    </row>
    <row r="348" spans="1:8" ht="12.75" customHeight="1">
      <c r="A348" s="22">
        <v>43542</v>
      </c>
      <c r="B348" s="22"/>
      <c r="C348" s="25">
        <f>ROUND(18.663046875,4)</f>
        <v>18.663</v>
      </c>
      <c r="D348" s="25">
        <f>F348</f>
        <v>20.5371</v>
      </c>
      <c r="E348" s="25">
        <f>F348</f>
        <v>20.5371</v>
      </c>
      <c r="F348" s="25">
        <f>ROUND(20.5371,4)</f>
        <v>20.5371</v>
      </c>
      <c r="G348" s="24"/>
      <c r="H348" s="36"/>
    </row>
    <row r="349" spans="1:8" ht="12.75" customHeight="1">
      <c r="A349" s="22">
        <v>43630</v>
      </c>
      <c r="B349" s="22"/>
      <c r="C349" s="25">
        <f>ROUND(18.663046875,4)</f>
        <v>18.663</v>
      </c>
      <c r="D349" s="25">
        <f>F349</f>
        <v>20.593</v>
      </c>
      <c r="E349" s="25">
        <f>F349</f>
        <v>20.593</v>
      </c>
      <c r="F349" s="25">
        <f>ROUND(20.593,4)</f>
        <v>20.593</v>
      </c>
      <c r="G349" s="24"/>
      <c r="H349" s="36"/>
    </row>
    <row r="350" spans="1:8" ht="12.75" customHeight="1">
      <c r="A350" s="22">
        <v>43724</v>
      </c>
      <c r="B350" s="22"/>
      <c r="C350" s="25">
        <f>ROUND(18.663046875,4)</f>
        <v>18.663</v>
      </c>
      <c r="D350" s="25">
        <f>F350</f>
        <v>21.2662</v>
      </c>
      <c r="E350" s="25">
        <f>F350</f>
        <v>21.2662</v>
      </c>
      <c r="F350" s="25">
        <f>ROUND(21.2662,4)</f>
        <v>21.2662</v>
      </c>
      <c r="G350" s="24"/>
      <c r="H350" s="36"/>
    </row>
    <row r="351" spans="1:8" ht="12.75" customHeight="1">
      <c r="A351" s="22" t="s">
        <v>73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43087</v>
      </c>
      <c r="B352" s="22"/>
      <c r="C352" s="25">
        <f>ROUND(1.80264195204492,4)</f>
        <v>1.8026</v>
      </c>
      <c r="D352" s="25">
        <f>F352</f>
        <v>1.8178</v>
      </c>
      <c r="E352" s="25">
        <f>F352</f>
        <v>1.8178</v>
      </c>
      <c r="F352" s="25">
        <f>ROUND(1.8178,4)</f>
        <v>1.8178</v>
      </c>
      <c r="G352" s="24"/>
      <c r="H352" s="36"/>
    </row>
    <row r="353" spans="1:8" ht="12.75" customHeight="1">
      <c r="A353" s="22">
        <v>43178</v>
      </c>
      <c r="B353" s="22"/>
      <c r="C353" s="25">
        <f>ROUND(1.80264195204492,4)</f>
        <v>1.8026</v>
      </c>
      <c r="D353" s="25">
        <f>F353</f>
        <v>1.8482</v>
      </c>
      <c r="E353" s="25">
        <f>F353</f>
        <v>1.8482</v>
      </c>
      <c r="F353" s="25">
        <f>ROUND(1.8482,4)</f>
        <v>1.8482</v>
      </c>
      <c r="G353" s="24"/>
      <c r="H353" s="36"/>
    </row>
    <row r="354" spans="1:8" ht="12.75" customHeight="1">
      <c r="A354" s="22">
        <v>43269</v>
      </c>
      <c r="B354" s="22"/>
      <c r="C354" s="25">
        <f>ROUND(1.80264195204492,4)</f>
        <v>1.8026</v>
      </c>
      <c r="D354" s="25">
        <f>F354</f>
        <v>1.8779</v>
      </c>
      <c r="E354" s="25">
        <f>F354</f>
        <v>1.8779</v>
      </c>
      <c r="F354" s="25">
        <f>ROUND(1.8779,4)</f>
        <v>1.8779</v>
      </c>
      <c r="G354" s="24"/>
      <c r="H354" s="36"/>
    </row>
    <row r="355" spans="1:8" ht="12.75" customHeight="1">
      <c r="A355" s="22">
        <v>43360</v>
      </c>
      <c r="B355" s="22"/>
      <c r="C355" s="25">
        <f>ROUND(1.80264195204492,4)</f>
        <v>1.8026</v>
      </c>
      <c r="D355" s="25">
        <f>F355</f>
        <v>1.9068</v>
      </c>
      <c r="E355" s="25">
        <f>F355</f>
        <v>1.9068</v>
      </c>
      <c r="F355" s="25">
        <f>ROUND(1.9068,4)</f>
        <v>1.9068</v>
      </c>
      <c r="G355" s="24"/>
      <c r="H355" s="36"/>
    </row>
    <row r="356" spans="1:8" ht="12.75" customHeight="1">
      <c r="A356" s="22">
        <v>43448</v>
      </c>
      <c r="B356" s="22"/>
      <c r="C356" s="25">
        <f>ROUND(1.80264195204492,4)</f>
        <v>1.8026</v>
      </c>
      <c r="D356" s="25">
        <f>F356</f>
        <v>2.0238</v>
      </c>
      <c r="E356" s="25">
        <f>F356</f>
        <v>2.0238</v>
      </c>
      <c r="F356" s="25">
        <f>ROUND(2.0238,4)</f>
        <v>2.0238</v>
      </c>
      <c r="G356" s="24"/>
      <c r="H356" s="36"/>
    </row>
    <row r="357" spans="1:8" ht="12.75" customHeight="1">
      <c r="A357" s="22">
        <v>43542</v>
      </c>
      <c r="B357" s="22"/>
      <c r="C357" s="25">
        <f>ROUND(1.80264195204492,4)</f>
        <v>1.8026</v>
      </c>
      <c r="D357" s="25">
        <f>F357</f>
        <v>2.0545</v>
      </c>
      <c r="E357" s="25">
        <f>F357</f>
        <v>2.0545</v>
      </c>
      <c r="F357" s="25">
        <f>ROUND(2.0545,4)</f>
        <v>2.0545</v>
      </c>
      <c r="G357" s="24"/>
      <c r="H357" s="36"/>
    </row>
    <row r="358" spans="1:8" ht="12.75" customHeight="1">
      <c r="A358" s="22">
        <v>43630</v>
      </c>
      <c r="B358" s="22"/>
      <c r="C358" s="25">
        <f>ROUND(1.80264195204492,4)</f>
        <v>1.8026</v>
      </c>
      <c r="D358" s="25">
        <f>F358</f>
        <v>2.0893</v>
      </c>
      <c r="E358" s="25">
        <f>F358</f>
        <v>2.0893</v>
      </c>
      <c r="F358" s="25">
        <f>ROUND(2.0893,4)</f>
        <v>2.0893</v>
      </c>
      <c r="G358" s="24"/>
      <c r="H358" s="36"/>
    </row>
    <row r="359" spans="1:8" ht="12.75" customHeight="1">
      <c r="A359" s="22">
        <v>43724</v>
      </c>
      <c r="B359" s="22"/>
      <c r="C359" s="25">
        <f>ROUND(1.80264195204492,4)</f>
        <v>1.8026</v>
      </c>
      <c r="D359" s="25">
        <f>F359</f>
        <v>2.1219</v>
      </c>
      <c r="E359" s="25">
        <f>F359</f>
        <v>2.1219</v>
      </c>
      <c r="F359" s="25">
        <f>ROUND(2.1219,4)</f>
        <v>2.1219</v>
      </c>
      <c r="G359" s="24"/>
      <c r="H359" s="36"/>
    </row>
    <row r="360" spans="1:8" ht="12.75" customHeight="1">
      <c r="A360" s="22" t="s">
        <v>74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43087</v>
      </c>
      <c r="B361" s="22"/>
      <c r="C361" s="28">
        <f>ROUND(0.123357066623781,6)</f>
        <v>0.123357</v>
      </c>
      <c r="D361" s="28">
        <f>F361</f>
        <v>0.124541</v>
      </c>
      <c r="E361" s="28">
        <f>F361</f>
        <v>0.124541</v>
      </c>
      <c r="F361" s="28">
        <f>ROUND(0.124541,6)</f>
        <v>0.124541</v>
      </c>
      <c r="G361" s="24"/>
      <c r="H361" s="36"/>
    </row>
    <row r="362" spans="1:8" ht="12.75" customHeight="1">
      <c r="A362" s="22">
        <v>43178</v>
      </c>
      <c r="B362" s="22"/>
      <c r="C362" s="28">
        <f>ROUND(0.123357066623781,6)</f>
        <v>0.123357</v>
      </c>
      <c r="D362" s="28">
        <f>F362</f>
        <v>0.127022</v>
      </c>
      <c r="E362" s="28">
        <f>F362</f>
        <v>0.127022</v>
      </c>
      <c r="F362" s="28">
        <f>ROUND(0.127022,6)</f>
        <v>0.127022</v>
      </c>
      <c r="G362" s="24"/>
      <c r="H362" s="36"/>
    </row>
    <row r="363" spans="1:8" ht="12.75" customHeight="1">
      <c r="A363" s="22">
        <v>43269</v>
      </c>
      <c r="B363" s="22"/>
      <c r="C363" s="28">
        <f>ROUND(0.123357066623781,6)</f>
        <v>0.123357</v>
      </c>
      <c r="D363" s="28">
        <f>F363</f>
        <v>0.129552</v>
      </c>
      <c r="E363" s="28">
        <f>F363</f>
        <v>0.129552</v>
      </c>
      <c r="F363" s="28">
        <f>ROUND(0.129552,6)</f>
        <v>0.129552</v>
      </c>
      <c r="G363" s="24"/>
      <c r="H363" s="36"/>
    </row>
    <row r="364" spans="1:8" ht="12.75" customHeight="1">
      <c r="A364" s="22">
        <v>43360</v>
      </c>
      <c r="B364" s="22"/>
      <c r="C364" s="28">
        <f>ROUND(0.123357066623781,6)</f>
        <v>0.123357</v>
      </c>
      <c r="D364" s="28">
        <f>F364</f>
        <v>0.132169</v>
      </c>
      <c r="E364" s="28">
        <f>F364</f>
        <v>0.132169</v>
      </c>
      <c r="F364" s="28">
        <f>ROUND(0.132169,6)</f>
        <v>0.132169</v>
      </c>
      <c r="G364" s="24"/>
      <c r="H364" s="36"/>
    </row>
    <row r="365" spans="1:8" ht="12.75" customHeight="1">
      <c r="A365" s="22">
        <v>43448</v>
      </c>
      <c r="B365" s="22"/>
      <c r="C365" s="28">
        <f>ROUND(0.123357066623781,6)</f>
        <v>0.123357</v>
      </c>
      <c r="D365" s="28">
        <f>F365</f>
        <v>0.134848</v>
      </c>
      <c r="E365" s="28">
        <f>F365</f>
        <v>0.134848</v>
      </c>
      <c r="F365" s="28">
        <f>ROUND(0.134848,6)</f>
        <v>0.134848</v>
      </c>
      <c r="G365" s="24"/>
      <c r="H365" s="36"/>
    </row>
    <row r="366" spans="1:8" ht="12.75" customHeight="1">
      <c r="A366" s="22">
        <v>43542</v>
      </c>
      <c r="B366" s="22"/>
      <c r="C366" s="28">
        <f>ROUND(0.123357066623781,6)</f>
        <v>0.123357</v>
      </c>
      <c r="D366" s="28">
        <f>F366</f>
        <v>0.141943</v>
      </c>
      <c r="E366" s="28">
        <f>F366</f>
        <v>0.141943</v>
      </c>
      <c r="F366" s="28">
        <f>ROUND(0.141943,6)</f>
        <v>0.141943</v>
      </c>
      <c r="G366" s="24"/>
      <c r="H366" s="36"/>
    </row>
    <row r="367" spans="1:8" ht="12.75" customHeight="1">
      <c r="A367" s="22">
        <v>43630</v>
      </c>
      <c r="B367" s="22"/>
      <c r="C367" s="28">
        <f>ROUND(0.123357066623781,6)</f>
        <v>0.123357</v>
      </c>
      <c r="D367" s="28">
        <f>F367</f>
        <v>0.144536</v>
      </c>
      <c r="E367" s="28">
        <f>F367</f>
        <v>0.144536</v>
      </c>
      <c r="F367" s="28">
        <f>ROUND(0.144536,6)</f>
        <v>0.144536</v>
      </c>
      <c r="G367" s="24"/>
      <c r="H367" s="36"/>
    </row>
    <row r="368" spans="1:8" ht="12.75" customHeight="1">
      <c r="A368" s="22">
        <v>43724</v>
      </c>
      <c r="B368" s="22"/>
      <c r="C368" s="28">
        <f>ROUND(0.123357066623781,6)</f>
        <v>0.123357</v>
      </c>
      <c r="D368" s="28">
        <f>F368</f>
        <v>0.146912</v>
      </c>
      <c r="E368" s="28">
        <f>F368</f>
        <v>0.146912</v>
      </c>
      <c r="F368" s="28">
        <f>ROUND(0.146912,6)</f>
        <v>0.146912</v>
      </c>
      <c r="G368" s="24"/>
      <c r="H368" s="36"/>
    </row>
    <row r="369" spans="1:8" ht="12.75" customHeight="1">
      <c r="A369" s="22" t="s">
        <v>75</v>
      </c>
      <c r="B369" s="22"/>
      <c r="C369" s="23"/>
      <c r="D369" s="23"/>
      <c r="E369" s="23"/>
      <c r="F369" s="23"/>
      <c r="G369" s="24"/>
      <c r="H369" s="36"/>
    </row>
    <row r="370" spans="1:8" ht="12.75" customHeight="1">
      <c r="A370" s="22">
        <v>43087</v>
      </c>
      <c r="B370" s="22"/>
      <c r="C370" s="25">
        <f>ROUND(0.135450780196494,4)</f>
        <v>0.1355</v>
      </c>
      <c r="D370" s="25">
        <f>F370</f>
        <v>0.1351</v>
      </c>
      <c r="E370" s="25">
        <f>F370</f>
        <v>0.1351</v>
      </c>
      <c r="F370" s="25">
        <f>ROUND(0.1351,4)</f>
        <v>0.1351</v>
      </c>
      <c r="G370" s="24"/>
      <c r="H370" s="36"/>
    </row>
    <row r="371" spans="1:8" ht="12.75" customHeight="1">
      <c r="A371" s="22">
        <v>43178</v>
      </c>
      <c r="B371" s="22"/>
      <c r="C371" s="25">
        <f>ROUND(0.135450780196494,4)</f>
        <v>0.1355</v>
      </c>
      <c r="D371" s="25">
        <f>F371</f>
        <v>0.1345</v>
      </c>
      <c r="E371" s="25">
        <f>F371</f>
        <v>0.1345</v>
      </c>
      <c r="F371" s="25">
        <f>ROUND(0.1345,4)</f>
        <v>0.1345</v>
      </c>
      <c r="G371" s="24"/>
      <c r="H371" s="36"/>
    </row>
    <row r="372" spans="1:8" ht="12.75" customHeight="1">
      <c r="A372" s="22">
        <v>43269</v>
      </c>
      <c r="B372" s="22"/>
      <c r="C372" s="25">
        <f>ROUND(0.135450780196494,4)</f>
        <v>0.1355</v>
      </c>
      <c r="D372" s="25">
        <f>F372</f>
        <v>0.1336</v>
      </c>
      <c r="E372" s="25">
        <f>F372</f>
        <v>0.1336</v>
      </c>
      <c r="F372" s="25">
        <f>ROUND(0.1336,4)</f>
        <v>0.1336</v>
      </c>
      <c r="G372" s="24"/>
      <c r="H372" s="36"/>
    </row>
    <row r="373" spans="1:8" ht="12.75" customHeight="1">
      <c r="A373" s="22">
        <v>43360</v>
      </c>
      <c r="B373" s="22"/>
      <c r="C373" s="25">
        <f>ROUND(0.135450780196494,4)</f>
        <v>0.1355</v>
      </c>
      <c r="D373" s="25">
        <f>F373</f>
        <v>0.1329</v>
      </c>
      <c r="E373" s="25">
        <f>F373</f>
        <v>0.1329</v>
      </c>
      <c r="F373" s="25">
        <f>ROUND(0.1329,4)</f>
        <v>0.1329</v>
      </c>
      <c r="G373" s="24"/>
      <c r="H373" s="36"/>
    </row>
    <row r="374" spans="1:8" ht="12.75" customHeight="1">
      <c r="A374" s="22">
        <v>43448</v>
      </c>
      <c r="B374" s="22"/>
      <c r="C374" s="25">
        <f>ROUND(0.135450780196494,4)</f>
        <v>0.1355</v>
      </c>
      <c r="D374" s="25">
        <f>F374</f>
        <v>0.132</v>
      </c>
      <c r="E374" s="25">
        <f>F374</f>
        <v>0.132</v>
      </c>
      <c r="F374" s="25">
        <f>ROUND(0.132,4)</f>
        <v>0.132</v>
      </c>
      <c r="G374" s="24"/>
      <c r="H374" s="36"/>
    </row>
    <row r="375" spans="1:8" ht="12.75" customHeight="1">
      <c r="A375" s="22">
        <v>43542</v>
      </c>
      <c r="B375" s="22"/>
      <c r="C375" s="25">
        <f>ROUND(0.135450780196494,4)</f>
        <v>0.1355</v>
      </c>
      <c r="D375" s="25">
        <f>F375</f>
        <v>0.1311</v>
      </c>
      <c r="E375" s="25">
        <f>F375</f>
        <v>0.1311</v>
      </c>
      <c r="F375" s="25">
        <f>ROUND(0.1311,4)</f>
        <v>0.1311</v>
      </c>
      <c r="G375" s="24"/>
      <c r="H375" s="36"/>
    </row>
    <row r="376" spans="1:8" ht="12.75" customHeight="1">
      <c r="A376" s="22">
        <v>43630</v>
      </c>
      <c r="B376" s="22"/>
      <c r="C376" s="25">
        <f>ROUND(0.135450780196494,4)</f>
        <v>0.1355</v>
      </c>
      <c r="D376" s="25">
        <f>F376</f>
        <v>0.1311</v>
      </c>
      <c r="E376" s="25">
        <f>F376</f>
        <v>0.1311</v>
      </c>
      <c r="F376" s="25">
        <v>0.1311</v>
      </c>
      <c r="G376" s="24"/>
      <c r="H376" s="36"/>
    </row>
    <row r="377" spans="1:8" ht="12.75" customHeight="1">
      <c r="A377" s="22">
        <v>43724</v>
      </c>
      <c r="B377" s="22"/>
      <c r="C377" s="25">
        <f>ROUND(0.135450780196494,4)</f>
        <v>0.1355</v>
      </c>
      <c r="D377" s="25">
        <f>F377</f>
        <v>0.1311</v>
      </c>
      <c r="E377" s="25">
        <f>F377</f>
        <v>0.1311</v>
      </c>
      <c r="F377" s="25">
        <v>0.1311</v>
      </c>
      <c r="G377" s="24"/>
      <c r="H377" s="36"/>
    </row>
    <row r="378" spans="1:8" ht="12.75" customHeight="1">
      <c r="A378" s="22" t="s">
        <v>76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43087</v>
      </c>
      <c r="B379" s="22"/>
      <c r="C379" s="25">
        <f>ROUND(1.72680554788086,4)</f>
        <v>1.7268</v>
      </c>
      <c r="D379" s="25">
        <f>F379</f>
        <v>1.7464</v>
      </c>
      <c r="E379" s="25">
        <f>F379</f>
        <v>1.7464</v>
      </c>
      <c r="F379" s="25">
        <f>ROUND(1.7464,4)</f>
        <v>1.7464</v>
      </c>
      <c r="G379" s="24"/>
      <c r="H379" s="36"/>
    </row>
    <row r="380" spans="1:8" ht="12.75" customHeight="1">
      <c r="A380" s="22">
        <v>43178</v>
      </c>
      <c r="B380" s="22"/>
      <c r="C380" s="25">
        <f>ROUND(1.72680554788086,4)</f>
        <v>1.7268</v>
      </c>
      <c r="D380" s="25">
        <f>F380</f>
        <v>1.7767</v>
      </c>
      <c r="E380" s="25">
        <f>F380</f>
        <v>1.7767</v>
      </c>
      <c r="F380" s="25">
        <f>ROUND(1.7767,4)</f>
        <v>1.7767</v>
      </c>
      <c r="G380" s="24"/>
      <c r="H380" s="36"/>
    </row>
    <row r="381" spans="1:8" ht="12.75" customHeight="1">
      <c r="A381" s="22">
        <v>43269</v>
      </c>
      <c r="B381" s="22"/>
      <c r="C381" s="25">
        <f>ROUND(1.72680554788086,4)</f>
        <v>1.7268</v>
      </c>
      <c r="D381" s="25">
        <f>F381</f>
        <v>1.8075</v>
      </c>
      <c r="E381" s="25">
        <f>F381</f>
        <v>1.8075</v>
      </c>
      <c r="F381" s="25">
        <f>ROUND(1.8075,4)</f>
        <v>1.8075</v>
      </c>
      <c r="G381" s="24"/>
      <c r="H381" s="36"/>
    </row>
    <row r="382" spans="1:8" ht="12.75" customHeight="1">
      <c r="A382" s="22">
        <v>43360</v>
      </c>
      <c r="B382" s="22"/>
      <c r="C382" s="25">
        <f>ROUND(1.72680554788086,4)</f>
        <v>1.7268</v>
      </c>
      <c r="D382" s="25">
        <f>F382</f>
        <v>1.8372</v>
      </c>
      <c r="E382" s="25">
        <f>F382</f>
        <v>1.8372</v>
      </c>
      <c r="F382" s="25">
        <f>ROUND(1.8372,4)</f>
        <v>1.8372</v>
      </c>
      <c r="G382" s="24"/>
      <c r="H382" s="36"/>
    </row>
    <row r="383" spans="1:8" ht="12.75" customHeight="1">
      <c r="A383" s="22">
        <v>43630</v>
      </c>
      <c r="B383" s="22"/>
      <c r="C383" s="25">
        <f>ROUND(1.72680554788086,4)</f>
        <v>1.7268</v>
      </c>
      <c r="D383" s="25">
        <f>F383</f>
        <v>1.9408</v>
      </c>
      <c r="E383" s="25">
        <f>F383</f>
        <v>1.9408</v>
      </c>
      <c r="F383" s="25">
        <v>1.9408</v>
      </c>
      <c r="G383" s="24"/>
      <c r="H383" s="36"/>
    </row>
    <row r="384" spans="1:8" ht="12.75" customHeight="1">
      <c r="A384" s="22">
        <v>43724</v>
      </c>
      <c r="B384" s="22"/>
      <c r="C384" s="25">
        <f>ROUND(1.72680554788086,4)</f>
        <v>1.7268</v>
      </c>
      <c r="D384" s="25">
        <f>F384</f>
        <v>1.9786</v>
      </c>
      <c r="E384" s="25">
        <f>F384</f>
        <v>1.9786</v>
      </c>
      <c r="F384" s="25">
        <f>ROUND(1.9786,4)</f>
        <v>1.9786</v>
      </c>
      <c r="G384" s="24"/>
      <c r="H384" s="36"/>
    </row>
    <row r="385" spans="1:8" ht="12.75" customHeight="1">
      <c r="A385" s="22" t="s">
        <v>77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43087</v>
      </c>
      <c r="B386" s="22"/>
      <c r="C386" s="25">
        <f>ROUND(9.698203125,4)</f>
        <v>9.6982</v>
      </c>
      <c r="D386" s="25">
        <f>F386</f>
        <v>9.7634</v>
      </c>
      <c r="E386" s="25">
        <f>F386</f>
        <v>9.7634</v>
      </c>
      <c r="F386" s="25">
        <f>ROUND(9.7634,4)</f>
        <v>9.7634</v>
      </c>
      <c r="G386" s="24"/>
      <c r="H386" s="36"/>
    </row>
    <row r="387" spans="1:8" ht="12.75" customHeight="1">
      <c r="A387" s="22">
        <v>43178</v>
      </c>
      <c r="B387" s="22"/>
      <c r="C387" s="25">
        <f>ROUND(9.698203125,4)</f>
        <v>9.6982</v>
      </c>
      <c r="D387" s="25">
        <f>F387</f>
        <v>9.8947</v>
      </c>
      <c r="E387" s="25">
        <f>F387</f>
        <v>9.8947</v>
      </c>
      <c r="F387" s="25">
        <f>ROUND(9.8947,4)</f>
        <v>9.8947</v>
      </c>
      <c r="G387" s="24"/>
      <c r="H387" s="36"/>
    </row>
    <row r="388" spans="1:8" ht="12.75" customHeight="1">
      <c r="A388" s="22">
        <v>43269</v>
      </c>
      <c r="B388" s="22"/>
      <c r="C388" s="25">
        <f>ROUND(9.698203125,4)</f>
        <v>9.6982</v>
      </c>
      <c r="D388" s="25">
        <f>F388</f>
        <v>10.0259</v>
      </c>
      <c r="E388" s="25">
        <f>F388</f>
        <v>10.0259</v>
      </c>
      <c r="F388" s="25">
        <f>ROUND(10.0259,4)</f>
        <v>10.0259</v>
      </c>
      <c r="G388" s="24"/>
      <c r="H388" s="36"/>
    </row>
    <row r="389" spans="1:8" ht="12.75" customHeight="1">
      <c r="A389" s="22">
        <v>43360</v>
      </c>
      <c r="B389" s="22"/>
      <c r="C389" s="25">
        <f>ROUND(9.698203125,4)</f>
        <v>9.6982</v>
      </c>
      <c r="D389" s="25">
        <f>F389</f>
        <v>10.1593</v>
      </c>
      <c r="E389" s="25">
        <f>F389</f>
        <v>10.1593</v>
      </c>
      <c r="F389" s="25">
        <f>ROUND(10.1593,4)</f>
        <v>10.1593</v>
      </c>
      <c r="G389" s="24"/>
      <c r="H389" s="36"/>
    </row>
    <row r="390" spans="1:8" ht="12.75" customHeight="1">
      <c r="A390" s="22">
        <v>43448</v>
      </c>
      <c r="B390" s="22"/>
      <c r="C390" s="25">
        <f>ROUND(9.698203125,4)</f>
        <v>9.6982</v>
      </c>
      <c r="D390" s="25">
        <f>F390</f>
        <v>10.7652</v>
      </c>
      <c r="E390" s="25">
        <f>F390</f>
        <v>10.7652</v>
      </c>
      <c r="F390" s="25">
        <f>ROUND(10.7652,4)</f>
        <v>10.7652</v>
      </c>
      <c r="G390" s="24"/>
      <c r="H390" s="36"/>
    </row>
    <row r="391" spans="1:8" ht="12.75" customHeight="1">
      <c r="A391" s="22">
        <v>43542</v>
      </c>
      <c r="B391" s="22"/>
      <c r="C391" s="25">
        <f>ROUND(9.698203125,4)</f>
        <v>9.6982</v>
      </c>
      <c r="D391" s="25">
        <f>F391</f>
        <v>10.9122</v>
      </c>
      <c r="E391" s="25">
        <f>F391</f>
        <v>10.9122</v>
      </c>
      <c r="F391" s="25">
        <f>ROUND(10.9122,4)</f>
        <v>10.9122</v>
      </c>
      <c r="G391" s="24"/>
      <c r="H391" s="36"/>
    </row>
    <row r="392" spans="1:8" ht="12.75" customHeight="1">
      <c r="A392" s="22">
        <v>43630</v>
      </c>
      <c r="B392" s="22"/>
      <c r="C392" s="25">
        <f>ROUND(9.698203125,4)</f>
        <v>9.6982</v>
      </c>
      <c r="D392" s="25">
        <f>F392</f>
        <v>11.0806</v>
      </c>
      <c r="E392" s="25">
        <f>F392</f>
        <v>11.0806</v>
      </c>
      <c r="F392" s="25">
        <f>ROUND(11.0806,4)</f>
        <v>11.0806</v>
      </c>
      <c r="G392" s="24"/>
      <c r="H392" s="36"/>
    </row>
    <row r="393" spans="1:8" ht="12.75" customHeight="1">
      <c r="A393" s="22">
        <v>43724</v>
      </c>
      <c r="B393" s="22"/>
      <c r="C393" s="25">
        <f>ROUND(9.698203125,4)</f>
        <v>9.6982</v>
      </c>
      <c r="D393" s="25">
        <f>F393</f>
        <v>11.2366</v>
      </c>
      <c r="E393" s="25">
        <f>F393</f>
        <v>11.2366</v>
      </c>
      <c r="F393" s="25">
        <f>ROUND(11.2366,4)</f>
        <v>11.2366</v>
      </c>
      <c r="G393" s="24"/>
      <c r="H393" s="36"/>
    </row>
    <row r="394" spans="1:8" ht="12.75" customHeight="1">
      <c r="A394" s="22" t="s">
        <v>78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43087</v>
      </c>
      <c r="B395" s="22"/>
      <c r="C395" s="25">
        <f>ROUND(10.3412141044968,4)</f>
        <v>10.3412</v>
      </c>
      <c r="D395" s="25">
        <f>F395</f>
        <v>10.4234</v>
      </c>
      <c r="E395" s="25">
        <f>F395</f>
        <v>10.4234</v>
      </c>
      <c r="F395" s="25">
        <f>ROUND(10.4234,4)</f>
        <v>10.4234</v>
      </c>
      <c r="G395" s="24"/>
      <c r="H395" s="36"/>
    </row>
    <row r="396" spans="1:8" ht="12.75" customHeight="1">
      <c r="A396" s="22">
        <v>43178</v>
      </c>
      <c r="B396" s="22"/>
      <c r="C396" s="25">
        <f>ROUND(10.3412141044968,4)</f>
        <v>10.3412</v>
      </c>
      <c r="D396" s="25">
        <f>F396</f>
        <v>10.5899</v>
      </c>
      <c r="E396" s="25">
        <f>F396</f>
        <v>10.5899</v>
      </c>
      <c r="F396" s="25">
        <f>ROUND(10.5899,4)</f>
        <v>10.5899</v>
      </c>
      <c r="G396" s="24"/>
      <c r="H396" s="36"/>
    </row>
    <row r="397" spans="1:8" ht="12.75" customHeight="1">
      <c r="A397" s="22">
        <v>43269</v>
      </c>
      <c r="B397" s="22"/>
      <c r="C397" s="25">
        <f>ROUND(10.3412141044968,4)</f>
        <v>10.3412</v>
      </c>
      <c r="D397" s="25">
        <f>F397</f>
        <v>10.7552</v>
      </c>
      <c r="E397" s="25">
        <f>F397</f>
        <v>10.7552</v>
      </c>
      <c r="F397" s="25">
        <f>ROUND(10.7552,4)</f>
        <v>10.7552</v>
      </c>
      <c r="G397" s="24"/>
      <c r="H397" s="36"/>
    </row>
    <row r="398" spans="1:8" ht="12.75" customHeight="1">
      <c r="A398" s="22">
        <v>43360</v>
      </c>
      <c r="B398" s="22"/>
      <c r="C398" s="25">
        <f>ROUND(10.3412141044968,4)</f>
        <v>10.3412</v>
      </c>
      <c r="D398" s="25">
        <f>F398</f>
        <v>10.9235</v>
      </c>
      <c r="E398" s="25">
        <f>F398</f>
        <v>10.9235</v>
      </c>
      <c r="F398" s="25">
        <f>ROUND(10.9235,4)</f>
        <v>10.9235</v>
      </c>
      <c r="G398" s="24"/>
      <c r="H398" s="36"/>
    </row>
    <row r="399" spans="1:8" ht="12.75" customHeight="1">
      <c r="A399" s="22">
        <v>43448</v>
      </c>
      <c r="B399" s="22"/>
      <c r="C399" s="25">
        <f>ROUND(10.3412141044968,4)</f>
        <v>10.3412</v>
      </c>
      <c r="D399" s="25">
        <f>F399</f>
        <v>11.5998</v>
      </c>
      <c r="E399" s="25">
        <f>F399</f>
        <v>11.5998</v>
      </c>
      <c r="F399" s="25">
        <f>ROUND(11.5998,4)</f>
        <v>11.5998</v>
      </c>
      <c r="G399" s="24"/>
      <c r="H399" s="36"/>
    </row>
    <row r="400" spans="1:8" ht="12.75" customHeight="1">
      <c r="A400" s="22">
        <v>43542</v>
      </c>
      <c r="B400" s="22"/>
      <c r="C400" s="25">
        <f>ROUND(10.3412141044968,4)</f>
        <v>10.3412</v>
      </c>
      <c r="D400" s="25">
        <f>F400</f>
        <v>11.7814</v>
      </c>
      <c r="E400" s="25">
        <f>F400</f>
        <v>11.7814</v>
      </c>
      <c r="F400" s="25">
        <f>ROUND(11.7814,4)</f>
        <v>11.7814</v>
      </c>
      <c r="G400" s="24"/>
      <c r="H400" s="36"/>
    </row>
    <row r="401" spans="1:8" ht="12.75" customHeight="1">
      <c r="A401" s="22">
        <v>43630</v>
      </c>
      <c r="B401" s="22"/>
      <c r="C401" s="25">
        <f>ROUND(10.3412141044968,4)</f>
        <v>10.3412</v>
      </c>
      <c r="D401" s="25">
        <f>F401</f>
        <v>11.9852</v>
      </c>
      <c r="E401" s="25">
        <f>F401</f>
        <v>11.9852</v>
      </c>
      <c r="F401" s="25">
        <f>ROUND(11.9852,4)</f>
        <v>11.9852</v>
      </c>
      <c r="G401" s="24"/>
      <c r="H401" s="36"/>
    </row>
    <row r="402" spans="1:8" ht="12.75" customHeight="1">
      <c r="A402" s="22">
        <v>43724</v>
      </c>
      <c r="B402" s="22"/>
      <c r="C402" s="25">
        <f>ROUND(10.3412141044968,4)</f>
        <v>10.3412</v>
      </c>
      <c r="D402" s="25">
        <f>F402</f>
        <v>12.1785</v>
      </c>
      <c r="E402" s="25">
        <f>F402</f>
        <v>12.1785</v>
      </c>
      <c r="F402" s="25">
        <f>ROUND(12.1785,4)</f>
        <v>12.1785</v>
      </c>
      <c r="G402" s="24"/>
      <c r="H402" s="36"/>
    </row>
    <row r="403" spans="1:8" ht="12.75" customHeight="1">
      <c r="A403" s="22" t="s">
        <v>79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43087</v>
      </c>
      <c r="B404" s="22"/>
      <c r="C404" s="25">
        <f>ROUND(3.68176462887813,4)</f>
        <v>3.6818</v>
      </c>
      <c r="D404" s="25">
        <f>F404</f>
        <v>3.6607</v>
      </c>
      <c r="E404" s="25">
        <f>F404</f>
        <v>3.6607</v>
      </c>
      <c r="F404" s="25">
        <f>ROUND(3.6607,4)</f>
        <v>3.6607</v>
      </c>
      <c r="G404" s="24"/>
      <c r="H404" s="36"/>
    </row>
    <row r="405" spans="1:8" ht="12.75" customHeight="1">
      <c r="A405" s="22">
        <v>43178</v>
      </c>
      <c r="B405" s="22"/>
      <c r="C405" s="25">
        <f>ROUND(3.68176462887813,4)</f>
        <v>3.6818</v>
      </c>
      <c r="D405" s="25">
        <f>F405</f>
        <v>3.6184</v>
      </c>
      <c r="E405" s="25">
        <f>F405</f>
        <v>3.6184</v>
      </c>
      <c r="F405" s="25">
        <f>ROUND(3.6184,4)</f>
        <v>3.6184</v>
      </c>
      <c r="G405" s="24"/>
      <c r="H405" s="36"/>
    </row>
    <row r="406" spans="1:8" ht="12.75" customHeight="1">
      <c r="A406" s="22">
        <v>43269</v>
      </c>
      <c r="B406" s="22"/>
      <c r="C406" s="25">
        <f>ROUND(3.68176462887813,4)</f>
        <v>3.6818</v>
      </c>
      <c r="D406" s="25">
        <f>F406</f>
        <v>3.5699</v>
      </c>
      <c r="E406" s="25">
        <f>F406</f>
        <v>3.5699</v>
      </c>
      <c r="F406" s="25">
        <f>ROUND(3.5699,4)</f>
        <v>3.5699</v>
      </c>
      <c r="G406" s="24"/>
      <c r="H406" s="36"/>
    </row>
    <row r="407" spans="1:8" ht="12.75" customHeight="1">
      <c r="A407" s="22">
        <v>43360</v>
      </c>
      <c r="B407" s="22"/>
      <c r="C407" s="25">
        <f>ROUND(3.68176462887813,4)</f>
        <v>3.6818</v>
      </c>
      <c r="D407" s="25">
        <f>F407</f>
        <v>3.5242</v>
      </c>
      <c r="E407" s="25">
        <f>F407</f>
        <v>3.5242</v>
      </c>
      <c r="F407" s="25">
        <f>ROUND(3.5242,4)</f>
        <v>3.5242</v>
      </c>
      <c r="G407" s="24"/>
      <c r="H407" s="36"/>
    </row>
    <row r="408" spans="1:8" ht="12.75" customHeight="1">
      <c r="A408" s="22">
        <v>43448</v>
      </c>
      <c r="B408" s="22"/>
      <c r="C408" s="25">
        <f>ROUND(3.68176462887813,4)</f>
        <v>3.6818</v>
      </c>
      <c r="D408" s="25">
        <f>F408</f>
        <v>3.6486</v>
      </c>
      <c r="E408" s="25">
        <f>F408</f>
        <v>3.6486</v>
      </c>
      <c r="F408" s="25">
        <f>ROUND(3.6486,4)</f>
        <v>3.6486</v>
      </c>
      <c r="G408" s="24"/>
      <c r="H408" s="36"/>
    </row>
    <row r="409" spans="1:8" ht="12.75" customHeight="1">
      <c r="A409" s="22">
        <v>43542</v>
      </c>
      <c r="B409" s="22"/>
      <c r="C409" s="25">
        <f>ROUND(3.68176462887813,4)</f>
        <v>3.6818</v>
      </c>
      <c r="D409" s="25">
        <f>F409</f>
        <v>3.6099</v>
      </c>
      <c r="E409" s="25">
        <f>F409</f>
        <v>3.6099</v>
      </c>
      <c r="F409" s="25">
        <f>ROUND(3.6099,4)</f>
        <v>3.6099</v>
      </c>
      <c r="G409" s="24"/>
      <c r="H409" s="36"/>
    </row>
    <row r="410" spans="1:8" ht="12.75" customHeight="1">
      <c r="A410" s="22">
        <v>43630</v>
      </c>
      <c r="B410" s="22"/>
      <c r="C410" s="25">
        <f>ROUND(3.68176462887813,4)</f>
        <v>3.6818</v>
      </c>
      <c r="D410" s="25">
        <f>F410</f>
        <v>3.5855</v>
      </c>
      <c r="E410" s="25">
        <f>F410</f>
        <v>3.5855</v>
      </c>
      <c r="F410" s="25">
        <f>ROUND(3.5855,4)</f>
        <v>3.5855</v>
      </c>
      <c r="G410" s="24"/>
      <c r="H410" s="36"/>
    </row>
    <row r="411" spans="1:8" ht="12.75" customHeight="1">
      <c r="A411" s="22">
        <v>43724</v>
      </c>
      <c r="B411" s="22"/>
      <c r="C411" s="25">
        <f>ROUND(3.68176462887813,4)</f>
        <v>3.6818</v>
      </c>
      <c r="D411" s="25">
        <f>F411</f>
        <v>3.5531</v>
      </c>
      <c r="E411" s="25">
        <f>F411</f>
        <v>3.5531</v>
      </c>
      <c r="F411" s="25">
        <f>ROUND(3.5531,4)</f>
        <v>3.5531</v>
      </c>
      <c r="G411" s="24"/>
      <c r="H411" s="36"/>
    </row>
    <row r="412" spans="1:8" ht="12.75" customHeight="1">
      <c r="A412" s="22" t="s">
        <v>80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43087</v>
      </c>
      <c r="B413" s="22"/>
      <c r="C413" s="25">
        <f>ROUND(14.0625,4)</f>
        <v>14.0625</v>
      </c>
      <c r="D413" s="25">
        <f>F413</f>
        <v>14.169</v>
      </c>
      <c r="E413" s="25">
        <f>F413</f>
        <v>14.169</v>
      </c>
      <c r="F413" s="25">
        <f>ROUND(14.169,4)</f>
        <v>14.169</v>
      </c>
      <c r="G413" s="24"/>
      <c r="H413" s="36"/>
    </row>
    <row r="414" spans="1:8" ht="12.75" customHeight="1">
      <c r="A414" s="22">
        <v>43178</v>
      </c>
      <c r="B414" s="22"/>
      <c r="C414" s="25">
        <f>ROUND(14.0625,4)</f>
        <v>14.0625</v>
      </c>
      <c r="D414" s="25">
        <f>F414</f>
        <v>14.3779</v>
      </c>
      <c r="E414" s="25">
        <f>F414</f>
        <v>14.3779</v>
      </c>
      <c r="F414" s="25">
        <f>ROUND(14.3779,4)</f>
        <v>14.3779</v>
      </c>
      <c r="G414" s="24"/>
      <c r="H414" s="36"/>
    </row>
    <row r="415" spans="1:8" ht="12.75" customHeight="1">
      <c r="A415" s="22">
        <v>43269</v>
      </c>
      <c r="B415" s="22"/>
      <c r="C415" s="25">
        <f>ROUND(14.0625,4)</f>
        <v>14.0625</v>
      </c>
      <c r="D415" s="25">
        <f>F415</f>
        <v>14.5849</v>
      </c>
      <c r="E415" s="25">
        <f>F415</f>
        <v>14.5849</v>
      </c>
      <c r="F415" s="25">
        <f>ROUND(14.5849,4)</f>
        <v>14.5849</v>
      </c>
      <c r="G415" s="24"/>
      <c r="H415" s="36"/>
    </row>
    <row r="416" spans="1:8" ht="12.75" customHeight="1">
      <c r="A416" s="22">
        <v>43360</v>
      </c>
      <c r="B416" s="22"/>
      <c r="C416" s="25">
        <f>ROUND(14.0625,4)</f>
        <v>14.0625</v>
      </c>
      <c r="D416" s="25">
        <f>F416</f>
        <v>14.7939</v>
      </c>
      <c r="E416" s="25">
        <f>F416</f>
        <v>14.7939</v>
      </c>
      <c r="F416" s="25">
        <f>ROUND(14.7939,4)</f>
        <v>14.7939</v>
      </c>
      <c r="G416" s="24"/>
      <c r="H416" s="36"/>
    </row>
    <row r="417" spans="1:8" ht="12.75" customHeight="1">
      <c r="A417" s="22">
        <v>43630</v>
      </c>
      <c r="B417" s="22"/>
      <c r="C417" s="25">
        <f>ROUND(14.0625,4)</f>
        <v>14.0625</v>
      </c>
      <c r="D417" s="25">
        <f>F417</f>
        <v>15.457</v>
      </c>
      <c r="E417" s="25">
        <f>F417</f>
        <v>15.457</v>
      </c>
      <c r="F417" s="25">
        <v>15.457</v>
      </c>
      <c r="G417" s="24"/>
      <c r="H417" s="36"/>
    </row>
    <row r="418" spans="1:8" ht="12.75" customHeight="1">
      <c r="A418" s="22">
        <v>43724</v>
      </c>
      <c r="B418" s="22"/>
      <c r="C418" s="25">
        <f>ROUND(14.0625,4)</f>
        <v>14.0625</v>
      </c>
      <c r="D418" s="25">
        <f>F418</f>
        <v>15.6907</v>
      </c>
      <c r="E418" s="25">
        <f>F418</f>
        <v>15.6907</v>
      </c>
      <c r="F418" s="25">
        <v>15.6907</v>
      </c>
      <c r="G418" s="24"/>
      <c r="H418" s="36"/>
    </row>
    <row r="419" spans="1:8" ht="12.75" customHeight="1">
      <c r="A419" s="22" t="s">
        <v>81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43087</v>
      </c>
      <c r="B420" s="22"/>
      <c r="C420" s="25">
        <f>ROUND(14.0625,4)</f>
        <v>14.0625</v>
      </c>
      <c r="D420" s="25">
        <f>F420</f>
        <v>14.169</v>
      </c>
      <c r="E420" s="25">
        <f>F420</f>
        <v>14.169</v>
      </c>
      <c r="F420" s="25">
        <f>ROUND(14.169,4)</f>
        <v>14.169</v>
      </c>
      <c r="G420" s="24"/>
      <c r="H420" s="36"/>
    </row>
    <row r="421" spans="1:8" ht="12.75" customHeight="1">
      <c r="A421" s="22">
        <v>43175</v>
      </c>
      <c r="B421" s="22"/>
      <c r="C421" s="25">
        <f>ROUND(14.0625,4)</f>
        <v>14.0625</v>
      </c>
      <c r="D421" s="25">
        <f>F421</f>
        <v>17.5004</v>
      </c>
      <c r="E421" s="25">
        <f>F421</f>
        <v>17.5004</v>
      </c>
      <c r="F421" s="25">
        <f>ROUND(17.5004,4)</f>
        <v>17.5004</v>
      </c>
      <c r="G421" s="24"/>
      <c r="H421" s="36"/>
    </row>
    <row r="422" spans="1:8" ht="12.75" customHeight="1">
      <c r="A422" s="22">
        <v>43178</v>
      </c>
      <c r="B422" s="22"/>
      <c r="C422" s="25">
        <f>ROUND(14.0625,4)</f>
        <v>14.0625</v>
      </c>
      <c r="D422" s="25">
        <f>F422</f>
        <v>14.3779</v>
      </c>
      <c r="E422" s="25">
        <f>F422</f>
        <v>14.3779</v>
      </c>
      <c r="F422" s="25">
        <f>ROUND(14.3779,4)</f>
        <v>14.3779</v>
      </c>
      <c r="G422" s="24"/>
      <c r="H422" s="36"/>
    </row>
    <row r="423" spans="1:8" ht="12.75" customHeight="1">
      <c r="A423" s="22">
        <v>43269</v>
      </c>
      <c r="B423" s="22"/>
      <c r="C423" s="25">
        <f>ROUND(14.0625,4)</f>
        <v>14.0625</v>
      </c>
      <c r="D423" s="25">
        <f>F423</f>
        <v>14.5849</v>
      </c>
      <c r="E423" s="25">
        <f>F423</f>
        <v>14.5849</v>
      </c>
      <c r="F423" s="25">
        <f>ROUND(14.5849,4)</f>
        <v>14.5849</v>
      </c>
      <c r="G423" s="24"/>
      <c r="H423" s="36"/>
    </row>
    <row r="424" spans="1:8" ht="12.75" customHeight="1">
      <c r="A424" s="22">
        <v>43360</v>
      </c>
      <c r="B424" s="22"/>
      <c r="C424" s="25">
        <f>ROUND(14.0625,4)</f>
        <v>14.0625</v>
      </c>
      <c r="D424" s="25">
        <f>F424</f>
        <v>14.7939</v>
      </c>
      <c r="E424" s="25">
        <f>F424</f>
        <v>14.7939</v>
      </c>
      <c r="F424" s="25">
        <f>ROUND(14.7939,4)</f>
        <v>14.7939</v>
      </c>
      <c r="G424" s="24"/>
      <c r="H424" s="36"/>
    </row>
    <row r="425" spans="1:8" ht="12.75" customHeight="1">
      <c r="A425" s="22">
        <v>43448</v>
      </c>
      <c r="B425" s="22"/>
      <c r="C425" s="25">
        <f>ROUND(14.0625,4)</f>
        <v>14.0625</v>
      </c>
      <c r="D425" s="25">
        <f>F425</f>
        <v>15.0045</v>
      </c>
      <c r="E425" s="25">
        <f>F425</f>
        <v>15.0045</v>
      </c>
      <c r="F425" s="25">
        <f>ROUND(15.0045,4)</f>
        <v>15.0045</v>
      </c>
      <c r="G425" s="24"/>
      <c r="H425" s="36"/>
    </row>
    <row r="426" spans="1:8" ht="12.75" customHeight="1">
      <c r="A426" s="22">
        <v>43542</v>
      </c>
      <c r="B426" s="22"/>
      <c r="C426" s="25">
        <f>ROUND(14.0625,4)</f>
        <v>14.0625</v>
      </c>
      <c r="D426" s="25">
        <f>F426</f>
        <v>15.2382</v>
      </c>
      <c r="E426" s="25">
        <f>F426</f>
        <v>15.2382</v>
      </c>
      <c r="F426" s="25">
        <f>ROUND(15.2382,4)</f>
        <v>15.2382</v>
      </c>
      <c r="G426" s="24"/>
      <c r="H426" s="36"/>
    </row>
    <row r="427" spans="1:8" ht="12.75" customHeight="1">
      <c r="A427" s="22">
        <v>43630</v>
      </c>
      <c r="B427" s="22"/>
      <c r="C427" s="25">
        <f>ROUND(14.0625,4)</f>
        <v>14.0625</v>
      </c>
      <c r="D427" s="25">
        <f>F427</f>
        <v>15.457</v>
      </c>
      <c r="E427" s="25">
        <f>F427</f>
        <v>15.457</v>
      </c>
      <c r="F427" s="25">
        <f>ROUND(15.457,4)</f>
        <v>15.457</v>
      </c>
      <c r="G427" s="24"/>
      <c r="H427" s="36"/>
    </row>
    <row r="428" spans="1:8" ht="12.75" customHeight="1">
      <c r="A428" s="22">
        <v>43724</v>
      </c>
      <c r="B428" s="22"/>
      <c r="C428" s="25">
        <f>ROUND(14.0625,4)</f>
        <v>14.0625</v>
      </c>
      <c r="D428" s="25">
        <f>F428</f>
        <v>15.6907</v>
      </c>
      <c r="E428" s="25">
        <f>F428</f>
        <v>15.6907</v>
      </c>
      <c r="F428" s="25">
        <f>ROUND(15.6907,4)</f>
        <v>15.6907</v>
      </c>
      <c r="G428" s="24"/>
      <c r="H428" s="36"/>
    </row>
    <row r="429" spans="1:8" ht="12.75" customHeight="1">
      <c r="A429" s="22">
        <v>43812</v>
      </c>
      <c r="B429" s="22"/>
      <c r="C429" s="25">
        <f>ROUND(14.0625,4)</f>
        <v>14.0625</v>
      </c>
      <c r="D429" s="25">
        <f>F429</f>
        <v>15.9206</v>
      </c>
      <c r="E429" s="25">
        <f>F429</f>
        <v>15.9206</v>
      </c>
      <c r="F429" s="25">
        <f>ROUND(15.9206,4)</f>
        <v>15.9206</v>
      </c>
      <c r="G429" s="24"/>
      <c r="H429" s="36"/>
    </row>
    <row r="430" spans="1:8" ht="12.75" customHeight="1">
      <c r="A430" s="22">
        <v>43906</v>
      </c>
      <c r="B430" s="22"/>
      <c r="C430" s="25">
        <f>ROUND(14.0625,4)</f>
        <v>14.0625</v>
      </c>
      <c r="D430" s="25">
        <f>F430</f>
        <v>16.1811</v>
      </c>
      <c r="E430" s="25">
        <f>F430</f>
        <v>16.1811</v>
      </c>
      <c r="F430" s="25">
        <f>ROUND(16.1811,4)</f>
        <v>16.1811</v>
      </c>
      <c r="G430" s="24"/>
      <c r="H430" s="36"/>
    </row>
    <row r="431" spans="1:8" ht="12.75" customHeight="1">
      <c r="A431" s="22">
        <v>43994</v>
      </c>
      <c r="B431" s="22"/>
      <c r="C431" s="25">
        <f>ROUND(14.0625,4)</f>
        <v>14.0625</v>
      </c>
      <c r="D431" s="25">
        <f>F431</f>
        <v>16.425</v>
      </c>
      <c r="E431" s="25">
        <f>F431</f>
        <v>16.425</v>
      </c>
      <c r="F431" s="25">
        <f>ROUND(16.425,4)</f>
        <v>16.425</v>
      </c>
      <c r="G431" s="24"/>
      <c r="H431" s="36"/>
    </row>
    <row r="432" spans="1:8" ht="12.75" customHeight="1">
      <c r="A432" s="22">
        <v>44088</v>
      </c>
      <c r="B432" s="22"/>
      <c r="C432" s="25">
        <f>ROUND(14.0625,4)</f>
        <v>14.0625</v>
      </c>
      <c r="D432" s="25">
        <f>F432</f>
        <v>16.6856</v>
      </c>
      <c r="E432" s="25">
        <f>F432</f>
        <v>16.6856</v>
      </c>
      <c r="F432" s="25">
        <f>ROUND(16.6856,4)</f>
        <v>16.6856</v>
      </c>
      <c r="G432" s="24"/>
      <c r="H432" s="36"/>
    </row>
    <row r="433" spans="1:8" ht="12.75" customHeight="1">
      <c r="A433" s="22">
        <v>44179</v>
      </c>
      <c r="B433" s="22"/>
      <c r="C433" s="25">
        <f>ROUND(14.0625,4)</f>
        <v>14.0625</v>
      </c>
      <c r="D433" s="25">
        <f>F433</f>
        <v>16.9378</v>
      </c>
      <c r="E433" s="25">
        <f>F433</f>
        <v>16.9378</v>
      </c>
      <c r="F433" s="25">
        <f>ROUND(16.9378,4)</f>
        <v>16.9378</v>
      </c>
      <c r="G433" s="24"/>
      <c r="H433" s="36"/>
    </row>
    <row r="434" spans="1:8" ht="12.75" customHeight="1">
      <c r="A434" s="22" t="s">
        <v>82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43087</v>
      </c>
      <c r="B435" s="22"/>
      <c r="C435" s="25">
        <f>ROUND(1.40260323159785,4)</f>
        <v>1.4026</v>
      </c>
      <c r="D435" s="25">
        <f>F435</f>
        <v>1.3957</v>
      </c>
      <c r="E435" s="25">
        <f>F435</f>
        <v>1.3957</v>
      </c>
      <c r="F435" s="25">
        <f>ROUND(1.3957,4)</f>
        <v>1.3957</v>
      </c>
      <c r="G435" s="24"/>
      <c r="H435" s="36"/>
    </row>
    <row r="436" spans="1:8" ht="12.75" customHeight="1">
      <c r="A436" s="22">
        <v>43178</v>
      </c>
      <c r="B436" s="22"/>
      <c r="C436" s="25">
        <f>ROUND(1.40260323159785,4)</f>
        <v>1.4026</v>
      </c>
      <c r="D436" s="25">
        <f>F436</f>
        <v>1.3757</v>
      </c>
      <c r="E436" s="25">
        <f>F436</f>
        <v>1.3757</v>
      </c>
      <c r="F436" s="25">
        <f>ROUND(1.3757,4)</f>
        <v>1.3757</v>
      </c>
      <c r="G436" s="24"/>
      <c r="H436" s="36"/>
    </row>
    <row r="437" spans="1:8" ht="12.75" customHeight="1">
      <c r="A437" s="22">
        <v>43269</v>
      </c>
      <c r="B437" s="22"/>
      <c r="C437" s="25">
        <f>ROUND(1.40260323159785,4)</f>
        <v>1.4026</v>
      </c>
      <c r="D437" s="25">
        <f>F437</f>
        <v>1.3525</v>
      </c>
      <c r="E437" s="25">
        <f>F437</f>
        <v>1.3525</v>
      </c>
      <c r="F437" s="25">
        <f>ROUND(1.3525,4)</f>
        <v>1.3525</v>
      </c>
      <c r="G437" s="24"/>
      <c r="H437" s="36"/>
    </row>
    <row r="438" spans="1:8" ht="12.75" customHeight="1">
      <c r="A438" s="22">
        <v>43360</v>
      </c>
      <c r="B438" s="22"/>
      <c r="C438" s="25">
        <f>ROUND(1.40260323159785,4)</f>
        <v>1.4026</v>
      </c>
      <c r="D438" s="25">
        <f>F438</f>
        <v>1.3323</v>
      </c>
      <c r="E438" s="25">
        <f>F438</f>
        <v>1.3323</v>
      </c>
      <c r="F438" s="25">
        <f>ROUND(1.3323,4)</f>
        <v>1.3323</v>
      </c>
      <c r="G438" s="24"/>
      <c r="H438" s="36"/>
    </row>
    <row r="439" spans="1:8" ht="12.75" customHeight="1">
      <c r="A439" s="22">
        <v>43448</v>
      </c>
      <c r="B439" s="22"/>
      <c r="C439" s="25">
        <f>ROUND(1.40260323159785,4)</f>
        <v>1.4026</v>
      </c>
      <c r="D439" s="25">
        <f>F439</f>
        <v>1.3167</v>
      </c>
      <c r="E439" s="25">
        <f>F439</f>
        <v>1.3167</v>
      </c>
      <c r="F439" s="25">
        <f>ROUND(1.3167,4)</f>
        <v>1.3167</v>
      </c>
      <c r="G439" s="24"/>
      <c r="H439" s="36"/>
    </row>
    <row r="440" spans="1:8" ht="12.75" customHeight="1">
      <c r="A440" s="22">
        <v>43630</v>
      </c>
      <c r="B440" s="22"/>
      <c r="C440" s="25">
        <f>ROUND(1.40260323159785,4)</f>
        <v>1.4026</v>
      </c>
      <c r="D440" s="25">
        <f>F440</f>
        <v>1.3167</v>
      </c>
      <c r="E440" s="25">
        <f>F440</f>
        <v>1.3167</v>
      </c>
      <c r="F440" s="25">
        <v>1.3167</v>
      </c>
      <c r="G440" s="24"/>
      <c r="H440" s="36"/>
    </row>
    <row r="441" spans="1:8" ht="12.75" customHeight="1">
      <c r="A441" s="22">
        <v>43724</v>
      </c>
      <c r="B441" s="22"/>
      <c r="C441" s="25">
        <f>ROUND(1.40260323159785,4)</f>
        <v>1.4026</v>
      </c>
      <c r="D441" s="25">
        <f>F441</f>
        <v>1.3167</v>
      </c>
      <c r="E441" s="25">
        <f>F441</f>
        <v>1.3167</v>
      </c>
      <c r="F441" s="25">
        <v>1.3167</v>
      </c>
      <c r="G441" s="24"/>
      <c r="H441" s="36"/>
    </row>
    <row r="442" spans="1:8" ht="12.75" customHeight="1">
      <c r="A442" s="22" t="s">
        <v>83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43041</v>
      </c>
      <c r="B443" s="22"/>
      <c r="C443" s="27">
        <f>ROUND(612.674,3)</f>
        <v>612.674</v>
      </c>
      <c r="D443" s="27">
        <f>F443</f>
        <v>612.795</v>
      </c>
      <c r="E443" s="27">
        <f>F443</f>
        <v>612.795</v>
      </c>
      <c r="F443" s="27">
        <f>ROUND(612.795,3)</f>
        <v>612.795</v>
      </c>
      <c r="G443" s="24"/>
      <c r="H443" s="36"/>
    </row>
    <row r="444" spans="1:8" ht="12.75" customHeight="1">
      <c r="A444" s="22">
        <v>43132</v>
      </c>
      <c r="B444" s="22"/>
      <c r="C444" s="27">
        <f>ROUND(612.674,3)</f>
        <v>612.674</v>
      </c>
      <c r="D444" s="27">
        <f>F444</f>
        <v>624.032</v>
      </c>
      <c r="E444" s="27">
        <f>F444</f>
        <v>624.032</v>
      </c>
      <c r="F444" s="27">
        <f>ROUND(624.032,3)</f>
        <v>624.032</v>
      </c>
      <c r="G444" s="24"/>
      <c r="H444" s="36"/>
    </row>
    <row r="445" spans="1:8" ht="12.75" customHeight="1">
      <c r="A445" s="22">
        <v>43223</v>
      </c>
      <c r="B445" s="22"/>
      <c r="C445" s="27">
        <f>ROUND(612.674,3)</f>
        <v>612.674</v>
      </c>
      <c r="D445" s="27">
        <f>F445</f>
        <v>635.586</v>
      </c>
      <c r="E445" s="27">
        <f>F445</f>
        <v>635.586</v>
      </c>
      <c r="F445" s="27">
        <f>ROUND(635.586,3)</f>
        <v>635.586</v>
      </c>
      <c r="G445" s="24"/>
      <c r="H445" s="36"/>
    </row>
    <row r="446" spans="1:8" ht="12.75" customHeight="1">
      <c r="A446" s="22">
        <v>43314</v>
      </c>
      <c r="B446" s="22"/>
      <c r="C446" s="27">
        <f>ROUND(612.674,3)</f>
        <v>612.674</v>
      </c>
      <c r="D446" s="27">
        <f>F446</f>
        <v>647.433</v>
      </c>
      <c r="E446" s="27">
        <f>F446</f>
        <v>647.433</v>
      </c>
      <c r="F446" s="27">
        <f>ROUND(647.433,3)</f>
        <v>647.433</v>
      </c>
      <c r="G446" s="24"/>
      <c r="H446" s="36"/>
    </row>
    <row r="447" spans="1:8" ht="12.75" customHeight="1">
      <c r="A447" s="22" t="s">
        <v>84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43041</v>
      </c>
      <c r="B448" s="22"/>
      <c r="C448" s="27">
        <f>ROUND(550.307,3)</f>
        <v>550.307</v>
      </c>
      <c r="D448" s="27">
        <f>F448</f>
        <v>550.416</v>
      </c>
      <c r="E448" s="27">
        <f>F448</f>
        <v>550.416</v>
      </c>
      <c r="F448" s="27">
        <f>ROUND(550.416,3)</f>
        <v>550.416</v>
      </c>
      <c r="G448" s="24"/>
      <c r="H448" s="36"/>
    </row>
    <row r="449" spans="1:8" ht="12.75" customHeight="1">
      <c r="A449" s="22">
        <v>43132</v>
      </c>
      <c r="B449" s="22"/>
      <c r="C449" s="27">
        <f>ROUND(550.307,3)</f>
        <v>550.307</v>
      </c>
      <c r="D449" s="27">
        <f>F449</f>
        <v>560.509</v>
      </c>
      <c r="E449" s="27">
        <f>F449</f>
        <v>560.509</v>
      </c>
      <c r="F449" s="27">
        <f>ROUND(560.509,3)</f>
        <v>560.509</v>
      </c>
      <c r="G449" s="24"/>
      <c r="H449" s="36"/>
    </row>
    <row r="450" spans="1:8" ht="12.75" customHeight="1">
      <c r="A450" s="22">
        <v>43223</v>
      </c>
      <c r="B450" s="22"/>
      <c r="C450" s="27">
        <f>ROUND(550.307,3)</f>
        <v>550.307</v>
      </c>
      <c r="D450" s="27">
        <f>F450</f>
        <v>570.887</v>
      </c>
      <c r="E450" s="27">
        <f>F450</f>
        <v>570.887</v>
      </c>
      <c r="F450" s="27">
        <f>ROUND(570.887,3)</f>
        <v>570.887</v>
      </c>
      <c r="G450" s="24"/>
      <c r="H450" s="36"/>
    </row>
    <row r="451" spans="1:8" ht="12.75" customHeight="1">
      <c r="A451" s="22">
        <v>43314</v>
      </c>
      <c r="B451" s="22"/>
      <c r="C451" s="27">
        <f>ROUND(550.307,3)</f>
        <v>550.307</v>
      </c>
      <c r="D451" s="27">
        <f>F451</f>
        <v>581.528</v>
      </c>
      <c r="E451" s="27">
        <f>F451</f>
        <v>581.528</v>
      </c>
      <c r="F451" s="27">
        <f>ROUND(581.528,3)</f>
        <v>581.528</v>
      </c>
      <c r="G451" s="24"/>
      <c r="H451" s="36"/>
    </row>
    <row r="452" spans="1:8" ht="12.75" customHeight="1">
      <c r="A452" s="22" t="s">
        <v>85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43041</v>
      </c>
      <c r="B453" s="22"/>
      <c r="C453" s="27">
        <f>ROUND(627.411,3)</f>
        <v>627.411</v>
      </c>
      <c r="D453" s="27">
        <f>F453</f>
        <v>627.535</v>
      </c>
      <c r="E453" s="27">
        <f>F453</f>
        <v>627.535</v>
      </c>
      <c r="F453" s="27">
        <f>ROUND(627.535,3)</f>
        <v>627.535</v>
      </c>
      <c r="G453" s="24"/>
      <c r="H453" s="36"/>
    </row>
    <row r="454" spans="1:8" ht="12.75" customHeight="1">
      <c r="A454" s="22">
        <v>43132</v>
      </c>
      <c r="B454" s="22"/>
      <c r="C454" s="27">
        <f>ROUND(627.411,3)</f>
        <v>627.411</v>
      </c>
      <c r="D454" s="27">
        <f>F454</f>
        <v>639.042</v>
      </c>
      <c r="E454" s="27">
        <f>F454</f>
        <v>639.042</v>
      </c>
      <c r="F454" s="27">
        <f>ROUND(639.042,3)</f>
        <v>639.042</v>
      </c>
      <c r="G454" s="24"/>
      <c r="H454" s="36"/>
    </row>
    <row r="455" spans="1:8" ht="12.75" customHeight="1">
      <c r="A455" s="22">
        <v>43223</v>
      </c>
      <c r="B455" s="22"/>
      <c r="C455" s="27">
        <f>ROUND(627.411,3)</f>
        <v>627.411</v>
      </c>
      <c r="D455" s="27">
        <f>F455</f>
        <v>650.874</v>
      </c>
      <c r="E455" s="27">
        <f>F455</f>
        <v>650.874</v>
      </c>
      <c r="F455" s="27">
        <f>ROUND(650.874,3)</f>
        <v>650.874</v>
      </c>
      <c r="G455" s="24"/>
      <c r="H455" s="36"/>
    </row>
    <row r="456" spans="1:8" ht="12.75" customHeight="1">
      <c r="A456" s="22">
        <v>43314</v>
      </c>
      <c r="B456" s="22"/>
      <c r="C456" s="27">
        <f>ROUND(627.411,3)</f>
        <v>627.411</v>
      </c>
      <c r="D456" s="27">
        <f>F456</f>
        <v>663.006</v>
      </c>
      <c r="E456" s="27">
        <f>F456</f>
        <v>663.006</v>
      </c>
      <c r="F456" s="27">
        <f>ROUND(663.006,3)</f>
        <v>663.006</v>
      </c>
      <c r="G456" s="24"/>
      <c r="H456" s="36"/>
    </row>
    <row r="457" spans="1:8" ht="12.75" customHeight="1">
      <c r="A457" s="22" t="s">
        <v>86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43041</v>
      </c>
      <c r="B458" s="22"/>
      <c r="C458" s="27">
        <f>ROUND(565.597,3)</f>
        <v>565.597</v>
      </c>
      <c r="D458" s="27">
        <f>F458</f>
        <v>565.709</v>
      </c>
      <c r="E458" s="27">
        <f>F458</f>
        <v>565.709</v>
      </c>
      <c r="F458" s="27">
        <f>ROUND(565.709,3)</f>
        <v>565.709</v>
      </c>
      <c r="G458" s="24"/>
      <c r="H458" s="36"/>
    </row>
    <row r="459" spans="1:8" ht="12.75" customHeight="1">
      <c r="A459" s="22">
        <v>43132</v>
      </c>
      <c r="B459" s="22"/>
      <c r="C459" s="27">
        <f>ROUND(565.597,3)</f>
        <v>565.597</v>
      </c>
      <c r="D459" s="27">
        <f>F459</f>
        <v>576.082</v>
      </c>
      <c r="E459" s="27">
        <f>F459</f>
        <v>576.082</v>
      </c>
      <c r="F459" s="27">
        <f>ROUND(576.082,3)</f>
        <v>576.082</v>
      </c>
      <c r="G459" s="24"/>
      <c r="H459" s="36"/>
    </row>
    <row r="460" spans="1:8" ht="12.75" customHeight="1">
      <c r="A460" s="22">
        <v>43223</v>
      </c>
      <c r="B460" s="22"/>
      <c r="C460" s="27">
        <f>ROUND(565.597,3)</f>
        <v>565.597</v>
      </c>
      <c r="D460" s="27">
        <f>F460</f>
        <v>586.749</v>
      </c>
      <c r="E460" s="27">
        <f>F460</f>
        <v>586.749</v>
      </c>
      <c r="F460" s="27">
        <f>ROUND(586.749,3)</f>
        <v>586.749</v>
      </c>
      <c r="G460" s="24"/>
      <c r="H460" s="36"/>
    </row>
    <row r="461" spans="1:8" ht="12.75" customHeight="1">
      <c r="A461" s="22">
        <v>43314</v>
      </c>
      <c r="B461" s="22"/>
      <c r="C461" s="27">
        <f>ROUND(565.597,3)</f>
        <v>565.597</v>
      </c>
      <c r="D461" s="27">
        <f>F461</f>
        <v>597.685</v>
      </c>
      <c r="E461" s="27">
        <f>F461</f>
        <v>597.685</v>
      </c>
      <c r="F461" s="27">
        <f>ROUND(597.685,3)</f>
        <v>597.685</v>
      </c>
      <c r="G461" s="24"/>
      <c r="H461" s="36"/>
    </row>
    <row r="462" spans="1:8" ht="12.75" customHeight="1">
      <c r="A462" s="22" t="s">
        <v>87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43041</v>
      </c>
      <c r="B463" s="22"/>
      <c r="C463" s="27">
        <f>ROUND(247.42687271768,3)</f>
        <v>247.427</v>
      </c>
      <c r="D463" s="27">
        <f>F463</f>
        <v>247.476</v>
      </c>
      <c r="E463" s="27">
        <f>F463</f>
        <v>247.476</v>
      </c>
      <c r="F463" s="27">
        <f>ROUND(247.476,3)</f>
        <v>247.476</v>
      </c>
      <c r="G463" s="24"/>
      <c r="H463" s="36"/>
    </row>
    <row r="464" spans="1:8" ht="12.75" customHeight="1">
      <c r="A464" s="22">
        <v>43132</v>
      </c>
      <c r="B464" s="22"/>
      <c r="C464" s="27">
        <f>ROUND(247.42687271768,3)</f>
        <v>247.427</v>
      </c>
      <c r="D464" s="27">
        <f>F464</f>
        <v>252.084</v>
      </c>
      <c r="E464" s="27">
        <f>F464</f>
        <v>252.084</v>
      </c>
      <c r="F464" s="27">
        <f>ROUND(252.084,3)</f>
        <v>252.084</v>
      </c>
      <c r="G464" s="24"/>
      <c r="H464" s="36"/>
    </row>
    <row r="465" spans="1:8" ht="12.75" customHeight="1">
      <c r="A465" s="22">
        <v>43223</v>
      </c>
      <c r="B465" s="22"/>
      <c r="C465" s="27">
        <f>ROUND(247.42687271768,3)</f>
        <v>247.427</v>
      </c>
      <c r="D465" s="27">
        <f>F465</f>
        <v>256.836</v>
      </c>
      <c r="E465" s="27">
        <f>F465</f>
        <v>256.836</v>
      </c>
      <c r="F465" s="27">
        <f>ROUND(256.836,3)</f>
        <v>256.836</v>
      </c>
      <c r="G465" s="24"/>
      <c r="H465" s="36"/>
    </row>
    <row r="466" spans="1:8" ht="12.75" customHeight="1">
      <c r="A466" s="22">
        <v>43314</v>
      </c>
      <c r="B466" s="22"/>
      <c r="C466" s="27">
        <f>ROUND(247.42687271768,3)</f>
        <v>247.427</v>
      </c>
      <c r="D466" s="27">
        <f>F466</f>
        <v>261.738</v>
      </c>
      <c r="E466" s="27">
        <f>F466</f>
        <v>261.738</v>
      </c>
      <c r="F466" s="27">
        <f>ROUND(261.738,3)</f>
        <v>261.738</v>
      </c>
      <c r="G466" s="24"/>
      <c r="H466" s="36"/>
    </row>
    <row r="467" spans="1:8" ht="12.75" customHeight="1">
      <c r="A467" s="22" t="s">
        <v>88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43041</v>
      </c>
      <c r="B468" s="22"/>
      <c r="C468" s="27">
        <f>ROUND(675.731,3)</f>
        <v>675.731</v>
      </c>
      <c r="D468" s="27">
        <f>F468</f>
        <v>709.665</v>
      </c>
      <c r="E468" s="27">
        <f>F468</f>
        <v>709.665</v>
      </c>
      <c r="F468" s="27">
        <f>ROUND(709.665,3)</f>
        <v>709.665</v>
      </c>
      <c r="G468" s="24"/>
      <c r="H468" s="36"/>
    </row>
    <row r="469" spans="1:8" ht="12.75" customHeight="1">
      <c r="A469" s="22">
        <v>43132</v>
      </c>
      <c r="B469" s="22"/>
      <c r="C469" s="27">
        <f>ROUND(675.731,3)</f>
        <v>675.731</v>
      </c>
      <c r="D469" s="27">
        <f>F469</f>
        <v>724.173</v>
      </c>
      <c r="E469" s="27">
        <f>F469</f>
        <v>724.173</v>
      </c>
      <c r="F469" s="27">
        <f>ROUND(724.173,3)</f>
        <v>724.173</v>
      </c>
      <c r="G469" s="24"/>
      <c r="H469" s="36"/>
    </row>
    <row r="470" spans="1:8" ht="12.75" customHeight="1">
      <c r="A470" s="22" t="s">
        <v>89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43087</v>
      </c>
      <c r="B471" s="22"/>
      <c r="C471" s="24">
        <f>ROUND(24717.321240871,2)</f>
        <v>24717.32</v>
      </c>
      <c r="D471" s="24">
        <f>F471</f>
        <v>24935.82</v>
      </c>
      <c r="E471" s="24">
        <f>F471</f>
        <v>24935.82</v>
      </c>
      <c r="F471" s="24">
        <f>ROUND(24935.82,2)</f>
        <v>24935.82</v>
      </c>
      <c r="G471" s="24"/>
      <c r="H471" s="36"/>
    </row>
    <row r="472" spans="1:8" ht="12.75" customHeight="1">
      <c r="A472" s="22">
        <v>43178</v>
      </c>
      <c r="B472" s="22"/>
      <c r="C472" s="24">
        <f>ROUND(24717.321240871,2)</f>
        <v>24717.32</v>
      </c>
      <c r="D472" s="24">
        <f>F472</f>
        <v>25347.13</v>
      </c>
      <c r="E472" s="24">
        <f>F472</f>
        <v>25347.13</v>
      </c>
      <c r="F472" s="24">
        <f>ROUND(25347.13,2)</f>
        <v>25347.13</v>
      </c>
      <c r="G472" s="24"/>
      <c r="H472" s="36"/>
    </row>
    <row r="473" spans="1:8" ht="12.75" customHeight="1">
      <c r="A473" s="22">
        <v>43269</v>
      </c>
      <c r="B473" s="22"/>
      <c r="C473" s="24">
        <f>ROUND(24717.321240871,2)</f>
        <v>24717.32</v>
      </c>
      <c r="D473" s="24">
        <f>F473</f>
        <v>25762.09</v>
      </c>
      <c r="E473" s="24">
        <f>F473</f>
        <v>25762.09</v>
      </c>
      <c r="F473" s="24">
        <f>ROUND(25762.09,2)</f>
        <v>25762.09</v>
      </c>
      <c r="G473" s="24"/>
      <c r="H473" s="36"/>
    </row>
    <row r="474" spans="1:8" ht="12.75" customHeight="1">
      <c r="A474" s="22" t="s">
        <v>90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43054</v>
      </c>
      <c r="B475" s="22"/>
      <c r="C475" s="27">
        <f>ROUND(7.05,3)</f>
        <v>7.05</v>
      </c>
      <c r="D475" s="27">
        <f>ROUND(7.11,3)</f>
        <v>7.11</v>
      </c>
      <c r="E475" s="27">
        <f>ROUND(7.01,3)</f>
        <v>7.01</v>
      </c>
      <c r="F475" s="27">
        <f>ROUND(7.06,3)</f>
        <v>7.06</v>
      </c>
      <c r="G475" s="24"/>
      <c r="H475" s="36"/>
    </row>
    <row r="476" spans="1:8" ht="12.75" customHeight="1">
      <c r="A476" s="22">
        <v>43089</v>
      </c>
      <c r="B476" s="22"/>
      <c r="C476" s="27">
        <f>ROUND(7.05,3)</f>
        <v>7.05</v>
      </c>
      <c r="D476" s="27">
        <f>ROUND(7.12,3)</f>
        <v>7.12</v>
      </c>
      <c r="E476" s="27">
        <f>ROUND(7.02,3)</f>
        <v>7.02</v>
      </c>
      <c r="F476" s="27">
        <f>ROUND(7.07,3)</f>
        <v>7.07</v>
      </c>
      <c r="G476" s="24"/>
      <c r="H476" s="36"/>
    </row>
    <row r="477" spans="1:8" ht="12.75" customHeight="1">
      <c r="A477" s="22">
        <v>43117</v>
      </c>
      <c r="B477" s="22"/>
      <c r="C477" s="27">
        <f>ROUND(7.05,3)</f>
        <v>7.05</v>
      </c>
      <c r="D477" s="27">
        <f>ROUND(7.16,3)</f>
        <v>7.16</v>
      </c>
      <c r="E477" s="27">
        <f>ROUND(7.06,3)</f>
        <v>7.06</v>
      </c>
      <c r="F477" s="27">
        <f>ROUND(7.11,3)</f>
        <v>7.11</v>
      </c>
      <c r="G477" s="24"/>
      <c r="H477" s="36"/>
    </row>
    <row r="478" spans="1:8" ht="12.75" customHeight="1">
      <c r="A478" s="22">
        <v>43152</v>
      </c>
      <c r="B478" s="22"/>
      <c r="C478" s="27">
        <f>ROUND(7.05,3)</f>
        <v>7.05</v>
      </c>
      <c r="D478" s="27">
        <f>ROUND(7.19,3)</f>
        <v>7.19</v>
      </c>
      <c r="E478" s="27">
        <f>ROUND(7.09,3)</f>
        <v>7.09</v>
      </c>
      <c r="F478" s="27">
        <f>ROUND(7.14,3)</f>
        <v>7.14</v>
      </c>
      <c r="G478" s="24"/>
      <c r="H478" s="36"/>
    </row>
    <row r="479" spans="1:8" ht="12.75" customHeight="1">
      <c r="A479" s="22">
        <v>43179</v>
      </c>
      <c r="B479" s="22"/>
      <c r="C479" s="27">
        <f>ROUND(7.05,3)</f>
        <v>7.05</v>
      </c>
      <c r="D479" s="27">
        <f>ROUND(7.24,3)</f>
        <v>7.24</v>
      </c>
      <c r="E479" s="27">
        <f>ROUND(7.14,3)</f>
        <v>7.14</v>
      </c>
      <c r="F479" s="27">
        <f>ROUND(7.19,3)</f>
        <v>7.19</v>
      </c>
      <c r="G479" s="24"/>
      <c r="H479" s="36"/>
    </row>
    <row r="480" spans="1:8" ht="12.75" customHeight="1">
      <c r="A480" s="22">
        <v>43208</v>
      </c>
      <c r="B480" s="22"/>
      <c r="C480" s="27">
        <f>ROUND(7.05,3)</f>
        <v>7.05</v>
      </c>
      <c r="D480" s="27">
        <f>ROUND(7.26,3)</f>
        <v>7.26</v>
      </c>
      <c r="E480" s="27">
        <f>ROUND(7.16,3)</f>
        <v>7.16</v>
      </c>
      <c r="F480" s="27">
        <f>ROUND(7.21,3)</f>
        <v>7.21</v>
      </c>
      <c r="G480" s="24"/>
      <c r="H480" s="36"/>
    </row>
    <row r="481" spans="1:8" ht="12.75" customHeight="1">
      <c r="A481" s="22">
        <v>43269</v>
      </c>
      <c r="B481" s="22"/>
      <c r="C481" s="27">
        <f>ROUND(7.05,3)</f>
        <v>7.05</v>
      </c>
      <c r="D481" s="27">
        <f>ROUND(7.51,3)</f>
        <v>7.51</v>
      </c>
      <c r="E481" s="27">
        <f>ROUND(7.41,3)</f>
        <v>7.41</v>
      </c>
      <c r="F481" s="27">
        <f>ROUND(7.46,3)</f>
        <v>7.46</v>
      </c>
      <c r="G481" s="24"/>
      <c r="H481" s="36"/>
    </row>
    <row r="482" spans="1:8" ht="12.75" customHeight="1">
      <c r="A482" s="22">
        <v>43271</v>
      </c>
      <c r="B482" s="22"/>
      <c r="C482" s="27">
        <f>ROUND(7.05,3)</f>
        <v>7.05</v>
      </c>
      <c r="D482" s="27">
        <f>ROUND(7.31,3)</f>
        <v>7.31</v>
      </c>
      <c r="E482" s="27">
        <f>ROUND(7.21,3)</f>
        <v>7.21</v>
      </c>
      <c r="F482" s="27">
        <f>ROUND(7.26,3)</f>
        <v>7.26</v>
      </c>
      <c r="G482" s="24"/>
      <c r="H482" s="36"/>
    </row>
    <row r="483" spans="1:8" ht="12.75" customHeight="1">
      <c r="A483" s="22">
        <v>43362</v>
      </c>
      <c r="B483" s="22"/>
      <c r="C483" s="27">
        <f>ROUND(7.05,3)</f>
        <v>7.05</v>
      </c>
      <c r="D483" s="27">
        <f>ROUND(7.4,3)</f>
        <v>7.4</v>
      </c>
      <c r="E483" s="27">
        <f>ROUND(7.3,3)</f>
        <v>7.3</v>
      </c>
      <c r="F483" s="27">
        <f>ROUND(7.35,3)</f>
        <v>7.35</v>
      </c>
      <c r="G483" s="24"/>
      <c r="H483" s="36"/>
    </row>
    <row r="484" spans="1:8" ht="12.75" customHeight="1">
      <c r="A484" s="22">
        <v>43453</v>
      </c>
      <c r="B484" s="22"/>
      <c r="C484" s="27">
        <f>ROUND(7.05,3)</f>
        <v>7.05</v>
      </c>
      <c r="D484" s="27">
        <f>ROUND(7.46,3)</f>
        <v>7.46</v>
      </c>
      <c r="E484" s="27">
        <f>ROUND(7.36,3)</f>
        <v>7.36</v>
      </c>
      <c r="F484" s="27">
        <f>ROUND(7.41,3)</f>
        <v>7.41</v>
      </c>
      <c r="G484" s="24"/>
      <c r="H484" s="36"/>
    </row>
    <row r="485" spans="1:8" ht="12.75" customHeight="1">
      <c r="A485" s="22">
        <v>43544</v>
      </c>
      <c r="B485" s="22"/>
      <c r="C485" s="27">
        <f>ROUND(7.05,3)</f>
        <v>7.05</v>
      </c>
      <c r="D485" s="27">
        <f>ROUND(7.53,3)</f>
        <v>7.53</v>
      </c>
      <c r="E485" s="27">
        <f>ROUND(7.43,3)</f>
        <v>7.43</v>
      </c>
      <c r="F485" s="27">
        <f>ROUND(7.48,3)</f>
        <v>7.48</v>
      </c>
      <c r="G485" s="24"/>
      <c r="H485" s="36"/>
    </row>
    <row r="486" spans="1:8" ht="12.75" customHeight="1">
      <c r="A486" s="22">
        <v>43635</v>
      </c>
      <c r="B486" s="22"/>
      <c r="C486" s="27">
        <f>ROUND(7.05,3)</f>
        <v>7.05</v>
      </c>
      <c r="D486" s="27">
        <f>ROUND(7.62,3)</f>
        <v>7.62</v>
      </c>
      <c r="E486" s="27">
        <f>ROUND(7.52,3)</f>
        <v>7.52</v>
      </c>
      <c r="F486" s="27">
        <f>ROUND(7.57,3)</f>
        <v>7.57</v>
      </c>
      <c r="G486" s="24"/>
      <c r="H486" s="36"/>
    </row>
    <row r="487" spans="1:8" ht="12.75" customHeight="1">
      <c r="A487" s="22">
        <v>43726</v>
      </c>
      <c r="B487" s="22"/>
      <c r="C487" s="27">
        <f>ROUND(7.05,3)</f>
        <v>7.05</v>
      </c>
      <c r="D487" s="27">
        <f>ROUND(7.7,3)</f>
        <v>7.7</v>
      </c>
      <c r="E487" s="27">
        <f>ROUND(7.6,3)</f>
        <v>7.6</v>
      </c>
      <c r="F487" s="27">
        <f>ROUND(7.65,3)</f>
        <v>7.65</v>
      </c>
      <c r="G487" s="24"/>
      <c r="H487" s="36"/>
    </row>
    <row r="488" spans="1:8" ht="12.75" customHeight="1">
      <c r="A488" s="22" t="s">
        <v>91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43041</v>
      </c>
      <c r="B489" s="22"/>
      <c r="C489" s="27">
        <f>ROUND(563.914,3)</f>
        <v>563.914</v>
      </c>
      <c r="D489" s="27">
        <f>F489</f>
        <v>564.025</v>
      </c>
      <c r="E489" s="27">
        <f>F489</f>
        <v>564.025</v>
      </c>
      <c r="F489" s="27">
        <f>ROUND(564.025,3)</f>
        <v>564.025</v>
      </c>
      <c r="G489" s="24"/>
      <c r="H489" s="36"/>
    </row>
    <row r="490" spans="1:8" ht="12.75" customHeight="1">
      <c r="A490" s="22">
        <v>43132</v>
      </c>
      <c r="B490" s="22"/>
      <c r="C490" s="27">
        <f>ROUND(563.914,3)</f>
        <v>563.914</v>
      </c>
      <c r="D490" s="27">
        <f>F490</f>
        <v>574.368</v>
      </c>
      <c r="E490" s="27">
        <f>F490</f>
        <v>574.368</v>
      </c>
      <c r="F490" s="27">
        <f>ROUND(574.368,3)</f>
        <v>574.368</v>
      </c>
      <c r="G490" s="24"/>
      <c r="H490" s="36"/>
    </row>
    <row r="491" spans="1:8" ht="12.75" customHeight="1">
      <c r="A491" s="22">
        <v>43223</v>
      </c>
      <c r="B491" s="22"/>
      <c r="C491" s="27">
        <f>ROUND(563.914,3)</f>
        <v>563.914</v>
      </c>
      <c r="D491" s="27">
        <f>F491</f>
        <v>585.003</v>
      </c>
      <c r="E491" s="27">
        <f>F491</f>
        <v>585.003</v>
      </c>
      <c r="F491" s="27">
        <f>ROUND(585.003,3)</f>
        <v>585.003</v>
      </c>
      <c r="G491" s="24"/>
      <c r="H491" s="36"/>
    </row>
    <row r="492" spans="1:8" ht="12.75" customHeight="1">
      <c r="A492" s="22">
        <v>43314</v>
      </c>
      <c r="B492" s="22"/>
      <c r="C492" s="27">
        <f>ROUND(563.914,3)</f>
        <v>563.914</v>
      </c>
      <c r="D492" s="27">
        <f>F492</f>
        <v>595.907</v>
      </c>
      <c r="E492" s="27">
        <f>F492</f>
        <v>595.907</v>
      </c>
      <c r="F492" s="27">
        <f>ROUND(595.907,3)</f>
        <v>595.907</v>
      </c>
      <c r="G492" s="24"/>
      <c r="H492" s="36"/>
    </row>
    <row r="493" spans="1:8" ht="12.75" customHeight="1">
      <c r="A493" s="22" t="s">
        <v>92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43090</v>
      </c>
      <c r="B494" s="22"/>
      <c r="C494" s="26">
        <f>ROUND(100.682904811059,5)</f>
        <v>100.6829</v>
      </c>
      <c r="D494" s="26">
        <f>F494</f>
        <v>99.75953</v>
      </c>
      <c r="E494" s="26">
        <f>F494</f>
        <v>99.75953</v>
      </c>
      <c r="F494" s="26">
        <f>ROUND(99.7595252451519,5)</f>
        <v>99.75953</v>
      </c>
      <c r="G494" s="24"/>
      <c r="H494" s="36"/>
    </row>
    <row r="495" spans="1:8" ht="12.75" customHeight="1">
      <c r="A495" s="22" t="s">
        <v>93</v>
      </c>
      <c r="B495" s="22"/>
      <c r="C495" s="23"/>
      <c r="D495" s="23"/>
      <c r="E495" s="23"/>
      <c r="F495" s="23"/>
      <c r="G495" s="24"/>
      <c r="H495" s="36"/>
    </row>
    <row r="496" spans="1:8" ht="12.75" customHeight="1">
      <c r="A496" s="22">
        <v>43174</v>
      </c>
      <c r="B496" s="22"/>
      <c r="C496" s="26">
        <f>ROUND(100.682904811059,5)</f>
        <v>100.6829</v>
      </c>
      <c r="D496" s="26">
        <f>F496</f>
        <v>99.70865</v>
      </c>
      <c r="E496" s="26">
        <f>F496</f>
        <v>99.70865</v>
      </c>
      <c r="F496" s="26">
        <f>ROUND(99.7086495493031,5)</f>
        <v>99.70865</v>
      </c>
      <c r="G496" s="24"/>
      <c r="H496" s="36"/>
    </row>
    <row r="497" spans="1:8" ht="12.75" customHeight="1">
      <c r="A497" s="22" t="s">
        <v>94</v>
      </c>
      <c r="B497" s="22"/>
      <c r="C497" s="23"/>
      <c r="D497" s="23"/>
      <c r="E497" s="23"/>
      <c r="F497" s="23"/>
      <c r="G497" s="24"/>
      <c r="H497" s="36"/>
    </row>
    <row r="498" spans="1:8" ht="12.75" customHeight="1">
      <c r="A498" s="22">
        <v>43272</v>
      </c>
      <c r="B498" s="22"/>
      <c r="C498" s="26">
        <f>ROUND(100.682904811059,5)</f>
        <v>100.6829</v>
      </c>
      <c r="D498" s="26">
        <f>F498</f>
        <v>99.90026</v>
      </c>
      <c r="E498" s="26">
        <f>F498</f>
        <v>99.90026</v>
      </c>
      <c r="F498" s="26">
        <f>ROUND(99.9002570555594,5)</f>
        <v>99.90026</v>
      </c>
      <c r="G498" s="24"/>
      <c r="H498" s="36"/>
    </row>
    <row r="499" spans="1:8" ht="12.75" customHeight="1">
      <c r="A499" s="22" t="s">
        <v>95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43363</v>
      </c>
      <c r="B500" s="22"/>
      <c r="C500" s="26">
        <f>ROUND(100.682904811059,5)</f>
        <v>100.6829</v>
      </c>
      <c r="D500" s="26">
        <f>F500</f>
        <v>100.11887</v>
      </c>
      <c r="E500" s="26">
        <f>F500</f>
        <v>100.11887</v>
      </c>
      <c r="F500" s="26">
        <f>ROUND(100.118872150815,5)</f>
        <v>100.11887</v>
      </c>
      <c r="G500" s="24"/>
      <c r="H500" s="36"/>
    </row>
    <row r="501" spans="1:8" ht="12.75" customHeight="1">
      <c r="A501" s="22" t="s">
        <v>96</v>
      </c>
      <c r="B501" s="22"/>
      <c r="C501" s="23"/>
      <c r="D501" s="23"/>
      <c r="E501" s="23"/>
      <c r="F501" s="23"/>
      <c r="G501" s="24"/>
      <c r="H501" s="36"/>
    </row>
    <row r="502" spans="1:8" ht="12.75" customHeight="1">
      <c r="A502" s="22">
        <v>43087</v>
      </c>
      <c r="B502" s="22"/>
      <c r="C502" s="26">
        <f>ROUND(101.672639806976,5)</f>
        <v>101.67264</v>
      </c>
      <c r="D502" s="26">
        <f>F502</f>
        <v>99.79702</v>
      </c>
      <c r="E502" s="26">
        <f>F502</f>
        <v>99.79702</v>
      </c>
      <c r="F502" s="26">
        <f>ROUND(99.797023059467,5)</f>
        <v>99.79702</v>
      </c>
      <c r="G502" s="24"/>
      <c r="H502" s="36"/>
    </row>
    <row r="503" spans="1:8" ht="12.75" customHeight="1">
      <c r="A503" s="22" t="s">
        <v>97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43175</v>
      </c>
      <c r="B504" s="22"/>
      <c r="C504" s="26">
        <f>ROUND(101.672639806976,5)</f>
        <v>101.67264</v>
      </c>
      <c r="D504" s="26">
        <f>F504</f>
        <v>98.99242</v>
      </c>
      <c r="E504" s="26">
        <f>F504</f>
        <v>98.99242</v>
      </c>
      <c r="F504" s="26">
        <f>ROUND(98.9924225413434,5)</f>
        <v>98.99242</v>
      </c>
      <c r="G504" s="24"/>
      <c r="H504" s="36"/>
    </row>
    <row r="505" spans="1:8" ht="12.75" customHeight="1">
      <c r="A505" s="22" t="s">
        <v>98</v>
      </c>
      <c r="B505" s="22"/>
      <c r="C505" s="23"/>
      <c r="D505" s="23"/>
      <c r="E505" s="23"/>
      <c r="F505" s="23"/>
      <c r="G505" s="24"/>
      <c r="H505" s="36"/>
    </row>
    <row r="506" spans="1:8" ht="12.75" customHeight="1">
      <c r="A506" s="22">
        <v>43266</v>
      </c>
      <c r="B506" s="22"/>
      <c r="C506" s="26">
        <f>ROUND(101.672639806976,5)</f>
        <v>101.67264</v>
      </c>
      <c r="D506" s="26">
        <f>F506</f>
        <v>98.58736</v>
      </c>
      <c r="E506" s="26">
        <f>F506</f>
        <v>98.58736</v>
      </c>
      <c r="F506" s="26">
        <f>ROUND(98.5873558029302,5)</f>
        <v>98.58736</v>
      </c>
      <c r="G506" s="24"/>
      <c r="H506" s="36"/>
    </row>
    <row r="507" spans="1:8" ht="12.75" customHeight="1">
      <c r="A507" s="22" t="s">
        <v>99</v>
      </c>
      <c r="B507" s="22"/>
      <c r="C507" s="23"/>
      <c r="D507" s="23"/>
      <c r="E507" s="23"/>
      <c r="F507" s="23"/>
      <c r="G507" s="24"/>
      <c r="H507" s="36"/>
    </row>
    <row r="508" spans="1:8" ht="12.75" customHeight="1">
      <c r="A508" s="22">
        <v>43364</v>
      </c>
      <c r="B508" s="22"/>
      <c r="C508" s="26">
        <f>ROUND(101.672639806976,5)</f>
        <v>101.67264</v>
      </c>
      <c r="D508" s="26">
        <f>F508</f>
        <v>98.58842</v>
      </c>
      <c r="E508" s="26">
        <f>F508</f>
        <v>98.58842</v>
      </c>
      <c r="F508" s="26">
        <f>ROUND(98.5884189891725,5)</f>
        <v>98.58842</v>
      </c>
      <c r="G508" s="24"/>
      <c r="H508" s="36"/>
    </row>
    <row r="509" spans="1:8" ht="12.75" customHeight="1">
      <c r="A509" s="22" t="s">
        <v>100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43455</v>
      </c>
      <c r="B510" s="22"/>
      <c r="C510" s="24">
        <f>ROUND(101.672639806976,2)</f>
        <v>101.67</v>
      </c>
      <c r="D510" s="24">
        <f>F510</f>
        <v>99.06</v>
      </c>
      <c r="E510" s="24">
        <f>F510</f>
        <v>99.06</v>
      </c>
      <c r="F510" s="24">
        <f>ROUND(99.064529415648,2)</f>
        <v>99.06</v>
      </c>
      <c r="G510" s="24"/>
      <c r="H510" s="36"/>
    </row>
    <row r="511" spans="1:8" ht="12.75" customHeight="1">
      <c r="A511" s="22" t="s">
        <v>101</v>
      </c>
      <c r="B511" s="22"/>
      <c r="C511" s="23"/>
      <c r="D511" s="23"/>
      <c r="E511" s="23"/>
      <c r="F511" s="23"/>
      <c r="G511" s="24"/>
      <c r="H511" s="36"/>
    </row>
    <row r="512" spans="1:8" ht="12.75" customHeight="1">
      <c r="A512" s="22">
        <v>43539</v>
      </c>
      <c r="B512" s="22"/>
      <c r="C512" s="26">
        <f>ROUND(101.672639806976,5)</f>
        <v>101.67264</v>
      </c>
      <c r="D512" s="26">
        <f>F512</f>
        <v>99.53943</v>
      </c>
      <c r="E512" s="26">
        <f>F512</f>
        <v>99.53943</v>
      </c>
      <c r="F512" s="26">
        <f>ROUND(99.5394308805864,5)</f>
        <v>99.53943</v>
      </c>
      <c r="G512" s="24"/>
      <c r="H512" s="36"/>
    </row>
    <row r="513" spans="1:8" ht="12.75" customHeight="1">
      <c r="A513" s="22" t="s">
        <v>102</v>
      </c>
      <c r="B513" s="22"/>
      <c r="C513" s="23"/>
      <c r="D513" s="23"/>
      <c r="E513" s="23"/>
      <c r="F513" s="23"/>
      <c r="G513" s="24"/>
      <c r="H513" s="36"/>
    </row>
    <row r="514" spans="1:8" ht="12.75" customHeight="1">
      <c r="A514" s="22">
        <v>43637</v>
      </c>
      <c r="B514" s="22"/>
      <c r="C514" s="26">
        <f>ROUND(101.672639806976,5)</f>
        <v>101.67264</v>
      </c>
      <c r="D514" s="26">
        <f>F514</f>
        <v>100.01569</v>
      </c>
      <c r="E514" s="26">
        <f>F514</f>
        <v>100.01569</v>
      </c>
      <c r="F514" s="26">
        <f>ROUND(100.015691260008,5)</f>
        <v>100.01569</v>
      </c>
      <c r="G514" s="24"/>
      <c r="H514" s="36"/>
    </row>
    <row r="515" spans="1:8" ht="12.75" customHeight="1">
      <c r="A515" s="22" t="s">
        <v>103</v>
      </c>
      <c r="B515" s="22"/>
      <c r="C515" s="23"/>
      <c r="D515" s="23"/>
      <c r="E515" s="23"/>
      <c r="F515" s="23"/>
      <c r="G515" s="24"/>
      <c r="H515" s="36"/>
    </row>
    <row r="516" spans="1:8" ht="12.75" customHeight="1">
      <c r="A516" s="22">
        <v>43728</v>
      </c>
      <c r="B516" s="22"/>
      <c r="C516" s="26">
        <f>ROUND(101.672639806976,5)</f>
        <v>101.67264</v>
      </c>
      <c r="D516" s="26">
        <f>F516</f>
        <v>100.56721</v>
      </c>
      <c r="E516" s="26">
        <f>F516</f>
        <v>100.56721</v>
      </c>
      <c r="F516" s="26">
        <f>ROUND(100.567210904136,5)</f>
        <v>100.56721</v>
      </c>
      <c r="G516" s="24"/>
      <c r="H516" s="36"/>
    </row>
    <row r="517" spans="1:8" ht="12.75" customHeight="1">
      <c r="A517" s="22" t="s">
        <v>104</v>
      </c>
      <c r="B517" s="22"/>
      <c r="C517" s="23"/>
      <c r="D517" s="23"/>
      <c r="E517" s="23"/>
      <c r="F517" s="23"/>
      <c r="G517" s="24"/>
      <c r="H517" s="36"/>
    </row>
    <row r="518" spans="1:8" ht="12.75" customHeight="1">
      <c r="A518" s="22">
        <v>44182</v>
      </c>
      <c r="B518" s="22"/>
      <c r="C518" s="26">
        <f>ROUND(103.345752601695,5)</f>
        <v>103.34575</v>
      </c>
      <c r="D518" s="26">
        <f>F518</f>
        <v>97.14426</v>
      </c>
      <c r="E518" s="26">
        <f>F518</f>
        <v>97.14426</v>
      </c>
      <c r="F518" s="26">
        <f>ROUND(97.1442649280856,5)</f>
        <v>97.14426</v>
      </c>
      <c r="G518" s="24"/>
      <c r="H518" s="36"/>
    </row>
    <row r="519" spans="1:8" ht="12.75" customHeight="1">
      <c r="A519" s="22" t="s">
        <v>105</v>
      </c>
      <c r="B519" s="22"/>
      <c r="C519" s="23"/>
      <c r="D519" s="23"/>
      <c r="E519" s="23"/>
      <c r="F519" s="23"/>
      <c r="G519" s="24"/>
      <c r="H519" s="36"/>
    </row>
    <row r="520" spans="1:8" ht="12.75" customHeight="1">
      <c r="A520" s="22">
        <v>44271</v>
      </c>
      <c r="B520" s="22"/>
      <c r="C520" s="26">
        <f>ROUND(103.345752601695,5)</f>
        <v>103.34575</v>
      </c>
      <c r="D520" s="26">
        <f>F520</f>
        <v>96.4615</v>
      </c>
      <c r="E520" s="26">
        <f>F520</f>
        <v>96.4615</v>
      </c>
      <c r="F520" s="26">
        <f>ROUND(96.4614980041031,5)</f>
        <v>96.4615</v>
      </c>
      <c r="G520" s="24"/>
      <c r="H520" s="36"/>
    </row>
    <row r="521" spans="1:8" ht="12.75" customHeight="1">
      <c r="A521" s="22" t="s">
        <v>106</v>
      </c>
      <c r="B521" s="22"/>
      <c r="C521" s="23"/>
      <c r="D521" s="23"/>
      <c r="E521" s="23"/>
      <c r="F521" s="23"/>
      <c r="G521" s="24"/>
      <c r="H521" s="36"/>
    </row>
    <row r="522" spans="1:8" ht="12.75" customHeight="1">
      <c r="A522" s="22">
        <v>44362</v>
      </c>
      <c r="B522" s="22"/>
      <c r="C522" s="26">
        <f>ROUND(103.345752601695,5)</f>
        <v>103.34575</v>
      </c>
      <c r="D522" s="26">
        <f>F522</f>
        <v>95.75545</v>
      </c>
      <c r="E522" s="26">
        <f>F522</f>
        <v>95.75545</v>
      </c>
      <c r="F522" s="26">
        <f>ROUND(95.7554507345616,5)</f>
        <v>95.75545</v>
      </c>
      <c r="G522" s="24"/>
      <c r="H522" s="36"/>
    </row>
    <row r="523" spans="1:8" ht="12.75" customHeight="1">
      <c r="A523" s="22" t="s">
        <v>107</v>
      </c>
      <c r="B523" s="22"/>
      <c r="C523" s="23"/>
      <c r="D523" s="23"/>
      <c r="E523" s="23"/>
      <c r="F523" s="23"/>
      <c r="G523" s="24"/>
      <c r="H523" s="36"/>
    </row>
    <row r="524" spans="1:8" ht="12.75" customHeight="1">
      <c r="A524" s="22">
        <v>44460</v>
      </c>
      <c r="B524" s="22"/>
      <c r="C524" s="26">
        <f>ROUND(103.345752601695,5)</f>
        <v>103.34575</v>
      </c>
      <c r="D524" s="26">
        <f>F524</f>
        <v>96.02446</v>
      </c>
      <c r="E524" s="26">
        <f>F524</f>
        <v>96.02446</v>
      </c>
      <c r="F524" s="26">
        <f>ROUND(96.0244552378421,5)</f>
        <v>96.02446</v>
      </c>
      <c r="G524" s="24"/>
      <c r="H524" s="36"/>
    </row>
    <row r="525" spans="1:8" ht="12.75" customHeight="1">
      <c r="A525" s="22" t="s">
        <v>108</v>
      </c>
      <c r="B525" s="22"/>
      <c r="C525" s="23"/>
      <c r="D525" s="23"/>
      <c r="E525" s="23"/>
      <c r="F525" s="23"/>
      <c r="G525" s="24"/>
      <c r="H525" s="36"/>
    </row>
    <row r="526" spans="1:8" ht="12.75" customHeight="1">
      <c r="A526" s="22">
        <v>44551</v>
      </c>
      <c r="B526" s="22"/>
      <c r="C526" s="26">
        <f>ROUND(103.345752601695,5)</f>
        <v>103.34575</v>
      </c>
      <c r="D526" s="26">
        <f>F526</f>
        <v>98.28959</v>
      </c>
      <c r="E526" s="26">
        <f>F526</f>
        <v>98.28959</v>
      </c>
      <c r="F526" s="26">
        <f>ROUND(98.2895877765857,5)</f>
        <v>98.28959</v>
      </c>
      <c r="G526" s="24"/>
      <c r="H526" s="36"/>
    </row>
    <row r="527" spans="1:8" ht="12.75" customHeight="1">
      <c r="A527" s="22" t="s">
        <v>109</v>
      </c>
      <c r="B527" s="22"/>
      <c r="C527" s="23"/>
      <c r="D527" s="23"/>
      <c r="E527" s="23"/>
      <c r="F527" s="23"/>
      <c r="G527" s="24"/>
      <c r="H527" s="36"/>
    </row>
    <row r="528" spans="1:8" ht="12.75" customHeight="1">
      <c r="A528" s="22">
        <v>44635</v>
      </c>
      <c r="B528" s="22"/>
      <c r="C528" s="26">
        <f>ROUND(103.345752601695,5)</f>
        <v>103.34575</v>
      </c>
      <c r="D528" s="26">
        <f>F528</f>
        <v>98.50763</v>
      </c>
      <c r="E528" s="26">
        <f>F528</f>
        <v>98.50763</v>
      </c>
      <c r="F528" s="26">
        <f>ROUND(98.5076287328878,5)</f>
        <v>98.50763</v>
      </c>
      <c r="G528" s="24"/>
      <c r="H528" s="36"/>
    </row>
    <row r="529" spans="1:8" ht="12.75" customHeight="1">
      <c r="A529" s="22" t="s">
        <v>110</v>
      </c>
      <c r="B529" s="22"/>
      <c r="C529" s="23"/>
      <c r="D529" s="23"/>
      <c r="E529" s="23"/>
      <c r="F529" s="23"/>
      <c r="G529" s="24"/>
      <c r="H529" s="36"/>
    </row>
    <row r="530" spans="1:8" ht="12.75" customHeight="1">
      <c r="A530" s="22">
        <v>44733</v>
      </c>
      <c r="B530" s="22"/>
      <c r="C530" s="26">
        <f>ROUND(103.345752601695,5)</f>
        <v>103.34575</v>
      </c>
      <c r="D530" s="26">
        <f>F530</f>
        <v>99.77346</v>
      </c>
      <c r="E530" s="26">
        <f>F530</f>
        <v>99.77346</v>
      </c>
      <c r="F530" s="26">
        <f>ROUND(99.7734634946475,5)</f>
        <v>99.77346</v>
      </c>
      <c r="G530" s="24"/>
      <c r="H530" s="36"/>
    </row>
    <row r="531" spans="1:8" ht="12.75" customHeight="1">
      <c r="A531" s="22" t="s">
        <v>111</v>
      </c>
      <c r="B531" s="22"/>
      <c r="C531" s="23"/>
      <c r="D531" s="23"/>
      <c r="E531" s="23"/>
      <c r="F531" s="23"/>
      <c r="G531" s="24"/>
      <c r="H531" s="36"/>
    </row>
    <row r="532" spans="1:8" ht="12.75" customHeight="1">
      <c r="A532" s="22">
        <v>44824</v>
      </c>
      <c r="B532" s="22"/>
      <c r="C532" s="26">
        <f>ROUND(103.345752601695,5)</f>
        <v>103.34575</v>
      </c>
      <c r="D532" s="26">
        <f>F532</f>
        <v>102.03462</v>
      </c>
      <c r="E532" s="26">
        <f>F532</f>
        <v>102.03462</v>
      </c>
      <c r="F532" s="26">
        <f>ROUND(102.034622407293,5)</f>
        <v>102.03462</v>
      </c>
      <c r="G532" s="24"/>
      <c r="H532" s="36"/>
    </row>
    <row r="533" spans="1:8" ht="12.75" customHeight="1">
      <c r="A533" s="22" t="s">
        <v>112</v>
      </c>
      <c r="B533" s="22"/>
      <c r="C533" s="23"/>
      <c r="D533" s="23"/>
      <c r="E533" s="23"/>
      <c r="F533" s="23"/>
      <c r="G533" s="24"/>
      <c r="H533" s="36"/>
    </row>
    <row r="534" spans="1:8" ht="12.75" customHeight="1">
      <c r="A534" s="22">
        <v>46008</v>
      </c>
      <c r="B534" s="22"/>
      <c r="C534" s="26">
        <f>ROUND(104.093364990634,5)</f>
        <v>104.09336</v>
      </c>
      <c r="D534" s="26">
        <f>F534</f>
        <v>97.4625</v>
      </c>
      <c r="E534" s="26">
        <f>F534</f>
        <v>97.4625</v>
      </c>
      <c r="F534" s="26">
        <f>ROUND(97.4625047412556,5)</f>
        <v>97.4625</v>
      </c>
      <c r="G534" s="24"/>
      <c r="H534" s="36"/>
    </row>
    <row r="535" spans="1:8" ht="12.75" customHeight="1">
      <c r="A535" s="22" t="s">
        <v>113</v>
      </c>
      <c r="B535" s="22"/>
      <c r="C535" s="23"/>
      <c r="D535" s="23"/>
      <c r="E535" s="23"/>
      <c r="F535" s="23"/>
      <c r="G535" s="24"/>
      <c r="H535" s="36"/>
    </row>
    <row r="536" spans="1:8" ht="12.75" customHeight="1">
      <c r="A536" s="22">
        <v>46097</v>
      </c>
      <c r="B536" s="22"/>
      <c r="C536" s="26">
        <f>ROUND(104.093364990634,5)</f>
        <v>104.09336</v>
      </c>
      <c r="D536" s="26">
        <f>F536</f>
        <v>94.56527</v>
      </c>
      <c r="E536" s="26">
        <f>F536</f>
        <v>94.56527</v>
      </c>
      <c r="F536" s="26">
        <f>ROUND(94.5652660705991,5)</f>
        <v>94.56527</v>
      </c>
      <c r="G536" s="24"/>
      <c r="H536" s="36"/>
    </row>
    <row r="537" spans="1:8" ht="12.75" customHeight="1">
      <c r="A537" s="22" t="s">
        <v>114</v>
      </c>
      <c r="B537" s="22"/>
      <c r="C537" s="23"/>
      <c r="D537" s="23"/>
      <c r="E537" s="23"/>
      <c r="F537" s="23"/>
      <c r="G537" s="24"/>
      <c r="H537" s="36"/>
    </row>
    <row r="538" spans="1:8" ht="12.75" customHeight="1">
      <c r="A538" s="22">
        <v>46188</v>
      </c>
      <c r="B538" s="22"/>
      <c r="C538" s="26">
        <f>ROUND(104.093364990634,5)</f>
        <v>104.09336</v>
      </c>
      <c r="D538" s="26">
        <f>F538</f>
        <v>93.38349</v>
      </c>
      <c r="E538" s="26">
        <f>F538</f>
        <v>93.38349</v>
      </c>
      <c r="F538" s="26">
        <f>ROUND(93.3834936752429,5)</f>
        <v>93.38349</v>
      </c>
      <c r="G538" s="24"/>
      <c r="H538" s="36"/>
    </row>
    <row r="539" spans="1:8" ht="12.75" customHeight="1">
      <c r="A539" s="22" t="s">
        <v>115</v>
      </c>
      <c r="B539" s="22"/>
      <c r="C539" s="23"/>
      <c r="D539" s="23"/>
      <c r="E539" s="23"/>
      <c r="F539" s="23"/>
      <c r="G539" s="24"/>
      <c r="H539" s="36"/>
    </row>
    <row r="540" spans="1:8" ht="12.75" customHeight="1">
      <c r="A540" s="22">
        <v>46286</v>
      </c>
      <c r="B540" s="22"/>
      <c r="C540" s="26">
        <f>ROUND(104.093364990634,5)</f>
        <v>104.09336</v>
      </c>
      <c r="D540" s="26">
        <f>F540</f>
        <v>95.55626</v>
      </c>
      <c r="E540" s="26">
        <f>F540</f>
        <v>95.55626</v>
      </c>
      <c r="F540" s="26">
        <f>ROUND(95.556264382929,5)</f>
        <v>95.55626</v>
      </c>
      <c r="G540" s="24"/>
      <c r="H540" s="36"/>
    </row>
    <row r="541" spans="1:8" ht="12.75" customHeight="1">
      <c r="A541" s="22" t="s">
        <v>116</v>
      </c>
      <c r="B541" s="22"/>
      <c r="C541" s="23"/>
      <c r="D541" s="23"/>
      <c r="E541" s="23"/>
      <c r="F541" s="23"/>
      <c r="G541" s="24"/>
      <c r="H541" s="36"/>
    </row>
    <row r="542" spans="1:8" ht="12.75" customHeight="1">
      <c r="A542" s="22">
        <v>46377</v>
      </c>
      <c r="B542" s="22"/>
      <c r="C542" s="26">
        <f>ROUND(104.093364990634,5)</f>
        <v>104.09336</v>
      </c>
      <c r="D542" s="26">
        <f>F542</f>
        <v>99.31761</v>
      </c>
      <c r="E542" s="26">
        <f>F542</f>
        <v>99.31761</v>
      </c>
      <c r="F542" s="26">
        <f>ROUND(99.3176105003246,5)</f>
        <v>99.31761</v>
      </c>
      <c r="G542" s="24"/>
      <c r="H542" s="36"/>
    </row>
    <row r="543" spans="1:8" ht="12.75" customHeight="1">
      <c r="A543" s="22" t="s">
        <v>117</v>
      </c>
      <c r="B543" s="22"/>
      <c r="C543" s="23"/>
      <c r="D543" s="23"/>
      <c r="E543" s="23"/>
      <c r="F543" s="23"/>
      <c r="G543" s="24"/>
      <c r="H543" s="36"/>
    </row>
    <row r="544" spans="1:8" ht="12.75" customHeight="1">
      <c r="A544" s="22">
        <v>46461</v>
      </c>
      <c r="B544" s="22"/>
      <c r="C544" s="26">
        <f>ROUND(104.093364990634,5)</f>
        <v>104.09336</v>
      </c>
      <c r="D544" s="26">
        <f>F544</f>
        <v>97.95365</v>
      </c>
      <c r="E544" s="26">
        <f>F544</f>
        <v>97.95365</v>
      </c>
      <c r="F544" s="26">
        <f>ROUND(97.9536531743761,5)</f>
        <v>97.95365</v>
      </c>
      <c r="G544" s="24"/>
      <c r="H544" s="36"/>
    </row>
    <row r="545" spans="1:8" ht="12.75" customHeight="1">
      <c r="A545" s="22" t="s">
        <v>118</v>
      </c>
      <c r="B545" s="22"/>
      <c r="C545" s="23"/>
      <c r="D545" s="23"/>
      <c r="E545" s="23"/>
      <c r="F545" s="23"/>
      <c r="G545" s="24"/>
      <c r="H545" s="36"/>
    </row>
    <row r="546" spans="1:8" ht="12.75" customHeight="1">
      <c r="A546" s="22">
        <v>46559</v>
      </c>
      <c r="B546" s="22"/>
      <c r="C546" s="26">
        <f>ROUND(104.093364990634,5)</f>
        <v>104.09336</v>
      </c>
      <c r="D546" s="26">
        <f>F546</f>
        <v>100.01868</v>
      </c>
      <c r="E546" s="26">
        <f>F546</f>
        <v>100.01868</v>
      </c>
      <c r="F546" s="26">
        <f>ROUND(100.018683536553,5)</f>
        <v>100.01868</v>
      </c>
      <c r="G546" s="24"/>
      <c r="H546" s="36"/>
    </row>
    <row r="547" spans="1:8" ht="12.75" customHeight="1">
      <c r="A547" s="22" t="s">
        <v>119</v>
      </c>
      <c r="B547" s="22"/>
      <c r="C547" s="23"/>
      <c r="D547" s="23"/>
      <c r="E547" s="23"/>
      <c r="F547" s="23"/>
      <c r="G547" s="24"/>
      <c r="H547" s="36"/>
    </row>
    <row r="548" spans="1:8" ht="12.75" customHeight="1" thickBot="1">
      <c r="A548" s="32">
        <v>46650</v>
      </c>
      <c r="B548" s="32"/>
      <c r="C548" s="33">
        <f>ROUND(104.093364990634,5)</f>
        <v>104.09336</v>
      </c>
      <c r="D548" s="33">
        <f>F548</f>
        <v>103.70717</v>
      </c>
      <c r="E548" s="33">
        <f>F548</f>
        <v>103.70717</v>
      </c>
      <c r="F548" s="33">
        <f>ROUND(103.707174008463,5)</f>
        <v>103.70717</v>
      </c>
      <c r="G548" s="34"/>
      <c r="H548" s="37"/>
    </row>
  </sheetData>
  <sheetProtection/>
  <mergeCells count="547">
    <mergeCell ref="A544:B544"/>
    <mergeCell ref="A545:B545"/>
    <mergeCell ref="A546:B546"/>
    <mergeCell ref="A547:B547"/>
    <mergeCell ref="A548:B548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2017-11-01T15:58:41Z</dcterms:modified>
  <cp:category/>
  <cp:version/>
  <cp:contentType/>
  <cp:contentStatus/>
</cp:coreProperties>
</file>