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'Jerry'!$A$1:$H$592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<sst xmlns="http://schemas.openxmlformats.org/spreadsheetml/2006/main" count="128" uniqueCount="124">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</sst>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SheetLayoutView="75" zoomScalePageLayoutView="0" workbookViewId="0" topLeftCell="A1">
      <selection activeCell="M101" sqref="M10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43195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ROUND(100.020118885056,2)</f>
        <v>100.02</v>
      </c>
      <c r="D6" s="24">
        <f>F6</f>
        <v>99.91</v>
      </c>
      <c r="E6" s="24">
        <f>F6</f>
        <v>99.91</v>
      </c>
      <c r="F6" s="24">
        <f>ROUND(99.9071865166767,2)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ROUND(100.020118885056,2)</f>
        <v>100.02</v>
      </c>
      <c r="D7" s="24">
        <f>F7</f>
        <v>100.02</v>
      </c>
      <c r="E7" s="24">
        <f>F7</f>
        <v>100.02</v>
      </c>
      <c r="F7" s="24">
        <f>ROUND(100.023309244888,2)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ROUND(100.020118885056,2)</f>
        <v>100.02</v>
      </c>
      <c r="D8" s="24">
        <f>F8</f>
        <v>100.44</v>
      </c>
      <c r="E8" s="24">
        <f>F8</f>
        <v>100.44</v>
      </c>
      <c r="F8" s="24">
        <f>ROUND(100.441718444816,2)</f>
        <v>100.44</v>
      </c>
      <c r="G8" s="24"/>
      <c r="H8" s="35"/>
    </row>
    <row r="9" spans="1:8" ht="12.75" customHeight="1">
      <c r="A9" s="22">
        <v>43546</v>
      </c>
      <c r="B9" s="22"/>
      <c r="C9" s="24">
        <f>ROUND(100.020118885056,2)</f>
        <v>100.02</v>
      </c>
      <c r="D9" s="24">
        <f>F9</f>
        <v>99.4</v>
      </c>
      <c r="E9" s="24">
        <f>F9</f>
        <v>99.4</v>
      </c>
      <c r="F9" s="24">
        <f>ROUND(99.404813995124,2)</f>
        <v>99.4</v>
      </c>
      <c r="G9" s="24"/>
      <c r="H9" s="35"/>
    </row>
    <row r="10" spans="1:8" ht="12.75" customHeight="1">
      <c r="A10" s="22">
        <v>43636</v>
      </c>
      <c r="B10" s="22"/>
      <c r="C10" s="24">
        <f>ROUND(100.020118885056,2)</f>
        <v>100.02</v>
      </c>
      <c r="D10" s="24">
        <f>F10</f>
        <v>100.02</v>
      </c>
      <c r="E10" s="24">
        <f>F10</f>
        <v>100.02</v>
      </c>
      <c r="F10" s="24">
        <f>ROUND(100.020118885056,2)</f>
        <v>100.02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ROUND(100.123199607723,2)</f>
        <v>100.12</v>
      </c>
      <c r="D12" s="24">
        <f>F12</f>
        <v>98.59</v>
      </c>
      <c r="E12" s="24">
        <f>F12</f>
        <v>98.59</v>
      </c>
      <c r="F12" s="24">
        <f>ROUND(98.5933413945993,2)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ROUND(100.123199607723,2)</f>
        <v>100.12</v>
      </c>
      <c r="D13" s="24">
        <f>F13</f>
        <v>98.49</v>
      </c>
      <c r="E13" s="24">
        <f>F13</f>
        <v>98.49</v>
      </c>
      <c r="F13" s="24">
        <f>ROUND(98.4939351871318,2)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ROUND(100.123199607723,2)</f>
        <v>100.12</v>
      </c>
      <c r="D14" s="24">
        <f>F14</f>
        <v>98.82</v>
      </c>
      <c r="E14" s="24">
        <f>F14</f>
        <v>98.82</v>
      </c>
      <c r="F14" s="24">
        <f>ROUND(98.8221900165253,2)</f>
        <v>98.82</v>
      </c>
      <c r="G14" s="24"/>
      <c r="H14" s="35"/>
    </row>
    <row r="15" spans="1:8" ht="12.75" customHeight="1">
      <c r="A15" s="22">
        <v>43539</v>
      </c>
      <c r="B15" s="22"/>
      <c r="C15" s="24">
        <f>ROUND(100.123199607723,2)</f>
        <v>100.12</v>
      </c>
      <c r="D15" s="24">
        <f>F15</f>
        <v>99.15</v>
      </c>
      <c r="E15" s="24">
        <f>F15</f>
        <v>99.15</v>
      </c>
      <c r="F15" s="24">
        <f>ROUND(99.1533869081804,2)</f>
        <v>99.15</v>
      </c>
      <c r="G15" s="24"/>
      <c r="H15" s="35"/>
    </row>
    <row r="16" spans="1:8" ht="12.75" customHeight="1">
      <c r="A16" s="22">
        <v>43637</v>
      </c>
      <c r="B16" s="22"/>
      <c r="C16" s="24">
        <f>ROUND(100.123199607723,2)</f>
        <v>100.12</v>
      </c>
      <c r="D16" s="24">
        <f>F16</f>
        <v>99.47</v>
      </c>
      <c r="E16" s="24">
        <f>F16</f>
        <v>99.47</v>
      </c>
      <c r="F16" s="24">
        <f>ROUND(99.4706510090086,2)</f>
        <v>99.47</v>
      </c>
      <c r="G16" s="24"/>
      <c r="H16" s="35"/>
    </row>
    <row r="17" spans="1:8" ht="12.75" customHeight="1">
      <c r="A17" s="22">
        <v>43728</v>
      </c>
      <c r="B17" s="22"/>
      <c r="C17" s="24">
        <f>ROUND(100.123199607723,2)</f>
        <v>100.12</v>
      </c>
      <c r="D17" s="24">
        <f>F17</f>
        <v>99.79</v>
      </c>
      <c r="E17" s="24">
        <f>F17</f>
        <v>99.79</v>
      </c>
      <c r="F17" s="24">
        <f>ROUND(99.7930531538975,2)</f>
        <v>99.79</v>
      </c>
      <c r="G17" s="24"/>
      <c r="H17" s="35"/>
    </row>
    <row r="18" spans="1:8" ht="12.75" customHeight="1">
      <c r="A18" s="22">
        <v>43819</v>
      </c>
      <c r="B18" s="22"/>
      <c r="C18" s="24">
        <f>ROUND(100.123199607723,2)</f>
        <v>100.12</v>
      </c>
      <c r="D18" s="24">
        <f>F18</f>
        <v>100.66</v>
      </c>
      <c r="E18" s="24">
        <f>F18</f>
        <v>100.66</v>
      </c>
      <c r="F18" s="24">
        <f>ROUND(100.661247316847,2)</f>
        <v>100.66</v>
      </c>
      <c r="G18" s="24"/>
      <c r="H18" s="35"/>
    </row>
    <row r="19" spans="1:8" ht="12.75" customHeight="1">
      <c r="A19" s="22">
        <v>43913</v>
      </c>
      <c r="B19" s="22"/>
      <c r="C19" s="24">
        <f>ROUND(100.123199607723,2)</f>
        <v>100.12</v>
      </c>
      <c r="D19" s="24">
        <f>F19</f>
        <v>98.33</v>
      </c>
      <c r="E19" s="24">
        <f>F19</f>
        <v>98.33</v>
      </c>
      <c r="F19" s="24">
        <f>ROUND(98.3303217953006,2)</f>
        <v>98.33</v>
      </c>
      <c r="G19" s="24"/>
      <c r="H19" s="35"/>
    </row>
    <row r="20" spans="1:8" ht="12.75" customHeight="1">
      <c r="A20" s="22">
        <v>44004</v>
      </c>
      <c r="B20" s="22"/>
      <c r="C20" s="24">
        <f>ROUND(100.123199607723,2)</f>
        <v>100.12</v>
      </c>
      <c r="D20" s="24">
        <f>F20</f>
        <v>100.12</v>
      </c>
      <c r="E20" s="24">
        <f>F20</f>
        <v>100.12</v>
      </c>
      <c r="F20" s="24">
        <f>ROUND(100.123199607723,2)</f>
        <v>100.12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ROUND(99.7419802749774,2)</f>
        <v>99.74</v>
      </c>
      <c r="D22" s="24">
        <f>F22</f>
        <v>95.55</v>
      </c>
      <c r="E22" s="24">
        <f>F22</f>
        <v>95.55</v>
      </c>
      <c r="F22" s="24">
        <f>ROUND(95.5518613472332,2)</f>
        <v>95.55</v>
      </c>
      <c r="G22" s="24"/>
      <c r="H22" s="35"/>
    </row>
    <row r="23" spans="1:8" ht="12.75" customHeight="1">
      <c r="A23" s="22">
        <v>44271</v>
      </c>
      <c r="B23" s="22"/>
      <c r="C23" s="24">
        <f>ROUND(99.7419802749774,2)</f>
        <v>99.74</v>
      </c>
      <c r="D23" s="24">
        <f>F23</f>
        <v>94.69</v>
      </c>
      <c r="E23" s="24">
        <f>F23</f>
        <v>94.69</v>
      </c>
      <c r="F23" s="24">
        <f>ROUND(94.6906643202981,2)</f>
        <v>94.69</v>
      </c>
      <c r="G23" s="24"/>
      <c r="H23" s="35"/>
    </row>
    <row r="24" spans="1:8" ht="12.75" customHeight="1">
      <c r="A24" s="22">
        <v>44362</v>
      </c>
      <c r="B24" s="22"/>
      <c r="C24" s="24">
        <f>ROUND(99.7419802749774,2)</f>
        <v>99.74</v>
      </c>
      <c r="D24" s="24">
        <f>F24</f>
        <v>93.79</v>
      </c>
      <c r="E24" s="24">
        <f>F24</f>
        <v>93.79</v>
      </c>
      <c r="F24" s="24">
        <f>ROUND(93.7945459864375,2)</f>
        <v>93.79</v>
      </c>
      <c r="G24" s="24"/>
      <c r="H24" s="35"/>
    </row>
    <row r="25" spans="1:8" ht="12.75" customHeight="1">
      <c r="A25" s="22">
        <v>44460</v>
      </c>
      <c r="B25" s="22"/>
      <c r="C25" s="24">
        <f>ROUND(99.7419802749774,2)</f>
        <v>99.74</v>
      </c>
      <c r="D25" s="24">
        <f>F25</f>
        <v>93.87</v>
      </c>
      <c r="E25" s="24">
        <f>F25</f>
        <v>93.87</v>
      </c>
      <c r="F25" s="24">
        <f>ROUND(93.8736444060287,2)</f>
        <v>93.87</v>
      </c>
      <c r="G25" s="24"/>
      <c r="H25" s="35"/>
    </row>
    <row r="26" spans="1:8" ht="12.75" customHeight="1">
      <c r="A26" s="22">
        <v>44551</v>
      </c>
      <c r="B26" s="22"/>
      <c r="C26" s="24">
        <f>ROUND(99.7419802749774,2)</f>
        <v>99.74</v>
      </c>
      <c r="D26" s="24">
        <f>F26</f>
        <v>95.99</v>
      </c>
      <c r="E26" s="24">
        <f>F26</f>
        <v>95.99</v>
      </c>
      <c r="F26" s="24">
        <f>ROUND(95.9890356043084,2)</f>
        <v>95.99</v>
      </c>
      <c r="G26" s="24"/>
      <c r="H26" s="35"/>
    </row>
    <row r="27" spans="1:8" ht="12.75" customHeight="1">
      <c r="A27" s="22">
        <v>44635</v>
      </c>
      <c r="B27" s="22"/>
      <c r="C27" s="24">
        <f>ROUND(99.7419802749774,2)</f>
        <v>99.74</v>
      </c>
      <c r="D27" s="24">
        <f>F27</f>
        <v>96.05</v>
      </c>
      <c r="E27" s="24">
        <f>F27</f>
        <v>96.05</v>
      </c>
      <c r="F27" s="24">
        <f>ROUND(96.0474175351109,2)</f>
        <v>96.05</v>
      </c>
      <c r="G27" s="24"/>
      <c r="H27" s="35"/>
    </row>
    <row r="28" spans="1:8" ht="12.75" customHeight="1">
      <c r="A28" s="22">
        <v>44733</v>
      </c>
      <c r="B28" s="22"/>
      <c r="C28" s="24">
        <f>ROUND(99.7419802749774,2)</f>
        <v>99.74</v>
      </c>
      <c r="D28" s="24">
        <f>F28</f>
        <v>97.16</v>
      </c>
      <c r="E28" s="24">
        <f>F28</f>
        <v>97.16</v>
      </c>
      <c r="F28" s="24">
        <f>ROUND(97.156308009276,2)</f>
        <v>97.16</v>
      </c>
      <c r="G28" s="24"/>
      <c r="H28" s="35"/>
    </row>
    <row r="29" spans="1:8" ht="12.75" customHeight="1">
      <c r="A29" s="22">
        <v>44824</v>
      </c>
      <c r="B29" s="22"/>
      <c r="C29" s="24">
        <f>ROUND(99.7419802749774,2)</f>
        <v>99.74</v>
      </c>
      <c r="D29" s="24">
        <f>F29</f>
        <v>99.29</v>
      </c>
      <c r="E29" s="24">
        <f>F29</f>
        <v>99.29</v>
      </c>
      <c r="F29" s="24">
        <f>ROUND(99.2884480015874,2)</f>
        <v>99.29</v>
      </c>
      <c r="G29" s="24"/>
      <c r="H29" s="35"/>
    </row>
    <row r="30" spans="1:8" ht="12.75" customHeight="1">
      <c r="A30" s="22">
        <v>44915</v>
      </c>
      <c r="B30" s="22"/>
      <c r="C30" s="24">
        <f>ROUND(99.7419802749774,2)</f>
        <v>99.74</v>
      </c>
      <c r="D30" s="24">
        <f>F30</f>
        <v>100.47</v>
      </c>
      <c r="E30" s="24">
        <f>F30</f>
        <v>100.47</v>
      </c>
      <c r="F30" s="24">
        <f>ROUND(100.468323164521,2)</f>
        <v>100.47</v>
      </c>
      <c r="G30" s="24"/>
      <c r="H30" s="35"/>
    </row>
    <row r="31" spans="1:8" ht="12.75" customHeight="1">
      <c r="A31" s="22">
        <v>45007</v>
      </c>
      <c r="B31" s="22"/>
      <c r="C31" s="24">
        <f>ROUND(99.7419802749774,2)</f>
        <v>99.74</v>
      </c>
      <c r="D31" s="24">
        <f>F31</f>
        <v>95.47</v>
      </c>
      <c r="E31" s="24">
        <f>F31</f>
        <v>95.47</v>
      </c>
      <c r="F31" s="24">
        <f>ROUND(95.474131562011,2)</f>
        <v>95.47</v>
      </c>
      <c r="G31" s="24"/>
      <c r="H31" s="35"/>
    </row>
    <row r="32" spans="1:8" ht="12.75" customHeight="1">
      <c r="A32" s="22">
        <v>45097</v>
      </c>
      <c r="B32" s="22"/>
      <c r="C32" s="24">
        <f>ROUND(99.7419802749774,2)</f>
        <v>99.74</v>
      </c>
      <c r="D32" s="24">
        <f>F32</f>
        <v>99.74</v>
      </c>
      <c r="E32" s="24">
        <f>F32</f>
        <v>99.74</v>
      </c>
      <c r="F32" s="24">
        <f>ROUND(99.7419802749774,2)</f>
        <v>99.74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ROUND(99.4126807622967,2)</f>
        <v>99.41</v>
      </c>
      <c r="D34" s="24">
        <f>F34</f>
        <v>92.92</v>
      </c>
      <c r="E34" s="24">
        <f>F34</f>
        <v>92.92</v>
      </c>
      <c r="F34" s="24">
        <f>ROUND(92.9188187702106,2)</f>
        <v>92.92</v>
      </c>
      <c r="G34" s="24"/>
      <c r="H34" s="35"/>
    </row>
    <row r="35" spans="1:8" ht="12.75" customHeight="1">
      <c r="A35" s="22">
        <v>46097</v>
      </c>
      <c r="B35" s="22"/>
      <c r="C35" s="24">
        <f>ROUND(99.4126807622967,2)</f>
        <v>99.41</v>
      </c>
      <c r="D35" s="24">
        <f>F35</f>
        <v>89.82</v>
      </c>
      <c r="E35" s="24">
        <f>F35</f>
        <v>89.82</v>
      </c>
      <c r="F35" s="24">
        <f>ROUND(89.8214972071999,2)</f>
        <v>89.82</v>
      </c>
      <c r="G35" s="24"/>
      <c r="H35" s="35"/>
    </row>
    <row r="36" spans="1:8" ht="12.75" customHeight="1">
      <c r="A36" s="22">
        <v>46188</v>
      </c>
      <c r="B36" s="22"/>
      <c r="C36" s="24">
        <f>ROUND(99.4126807622967,2)</f>
        <v>99.41</v>
      </c>
      <c r="D36" s="24">
        <f>F36</f>
        <v>88.48</v>
      </c>
      <c r="E36" s="24">
        <f>F36</f>
        <v>88.48</v>
      </c>
      <c r="F36" s="24">
        <f>ROUND(88.4756039461372,2)</f>
        <v>88.48</v>
      </c>
      <c r="G36" s="24"/>
      <c r="H36" s="35"/>
    </row>
    <row r="37" spans="1:8" ht="12.75" customHeight="1">
      <c r="A37" s="22">
        <v>46286</v>
      </c>
      <c r="B37" s="22"/>
      <c r="C37" s="24">
        <f>ROUND(99.4126807622967,2)</f>
        <v>99.41</v>
      </c>
      <c r="D37" s="24">
        <f>F37</f>
        <v>90.57</v>
      </c>
      <c r="E37" s="24">
        <f>F37</f>
        <v>90.57</v>
      </c>
      <c r="F37" s="24">
        <f>ROUND(90.5734180105072,2)</f>
        <v>90.57</v>
      </c>
      <c r="G37" s="24"/>
      <c r="H37" s="35"/>
    </row>
    <row r="38" spans="1:8" ht="12.75" customHeight="1">
      <c r="A38" s="22">
        <v>46377</v>
      </c>
      <c r="B38" s="22"/>
      <c r="C38" s="24">
        <f>ROUND(99.4126807622967,2)</f>
        <v>99.41</v>
      </c>
      <c r="D38" s="24">
        <f>F38</f>
        <v>94.32</v>
      </c>
      <c r="E38" s="24">
        <f>F38</f>
        <v>94.32</v>
      </c>
      <c r="F38" s="24">
        <f>ROUND(94.3244760013476,2)</f>
        <v>94.32</v>
      </c>
      <c r="G38" s="24"/>
      <c r="H38" s="35"/>
    </row>
    <row r="39" spans="1:8" ht="12.75" customHeight="1">
      <c r="A39" s="22">
        <v>46461</v>
      </c>
      <c r="B39" s="22"/>
      <c r="C39" s="24">
        <f>ROUND(99.4126807622967,2)</f>
        <v>99.41</v>
      </c>
      <c r="D39" s="24">
        <f>F39</f>
        <v>92.81</v>
      </c>
      <c r="E39" s="24">
        <f>F39</f>
        <v>92.81</v>
      </c>
      <c r="F39" s="24">
        <f>ROUND(92.8107879036415,2)</f>
        <v>92.81</v>
      </c>
      <c r="G39" s="24"/>
      <c r="H39" s="35"/>
    </row>
    <row r="40" spans="1:8" ht="12.75" customHeight="1">
      <c r="A40" s="22">
        <v>46559</v>
      </c>
      <c r="B40" s="22"/>
      <c r="C40" s="24">
        <f>ROUND(99.4126807622967,2)</f>
        <v>99.41</v>
      </c>
      <c r="D40" s="24">
        <f>F40</f>
        <v>94.83</v>
      </c>
      <c r="E40" s="24">
        <f>F40</f>
        <v>94.83</v>
      </c>
      <c r="F40" s="24">
        <f>ROUND(94.8287527155921,2)</f>
        <v>94.83</v>
      </c>
      <c r="G40" s="24"/>
      <c r="H40" s="35"/>
    </row>
    <row r="41" spans="1:8" ht="12.75" customHeight="1">
      <c r="A41" s="22">
        <v>46650</v>
      </c>
      <c r="B41" s="22"/>
      <c r="C41" s="24">
        <f>ROUND(99.4126807622967,2)</f>
        <v>99.41</v>
      </c>
      <c r="D41" s="24">
        <f>F41</f>
        <v>98.53</v>
      </c>
      <c r="E41" s="24">
        <f>F41</f>
        <v>98.53</v>
      </c>
      <c r="F41" s="24">
        <f>ROUND(98.5300863985004,2)</f>
        <v>98.53</v>
      </c>
      <c r="G41" s="24"/>
      <c r="H41" s="35"/>
    </row>
    <row r="42" spans="1:8" ht="12.75" customHeight="1">
      <c r="A42" s="22">
        <v>46741</v>
      </c>
      <c r="B42" s="22"/>
      <c r="C42" s="24">
        <f>ROUND(99.4126807622967,2)</f>
        <v>99.41</v>
      </c>
      <c r="D42" s="24">
        <f>F42</f>
        <v>98.82</v>
      </c>
      <c r="E42" s="24">
        <f>F42</f>
        <v>98.82</v>
      </c>
      <c r="F42" s="24">
        <f>ROUND(98.8227268304907,2)</f>
        <v>98.82</v>
      </c>
      <c r="G42" s="24"/>
      <c r="H42" s="35"/>
    </row>
    <row r="43" spans="1:8" ht="12.75" customHeight="1">
      <c r="A43" s="22">
        <v>46834</v>
      </c>
      <c r="B43" s="22"/>
      <c r="C43" s="24">
        <f>ROUND(99.4126807622967,2)</f>
        <v>99.41</v>
      </c>
      <c r="D43" s="24">
        <f>F43</f>
        <v>93.94</v>
      </c>
      <c r="E43" s="24">
        <f>F43</f>
        <v>93.94</v>
      </c>
      <c r="F43" s="24">
        <f>ROUND(93.9422346482221,2)</f>
        <v>93.94</v>
      </c>
      <c r="G43" s="24"/>
      <c r="H43" s="35"/>
    </row>
    <row r="44" spans="1:8" ht="12.75" customHeight="1">
      <c r="A44" s="22">
        <v>46924</v>
      </c>
      <c r="B44" s="22"/>
      <c r="C44" s="24">
        <f>ROUND(99.4126807622967,2)</f>
        <v>99.41</v>
      </c>
      <c r="D44" s="24">
        <f>F44</f>
        <v>99.41</v>
      </c>
      <c r="E44" s="24">
        <f>F44</f>
        <v>99.41</v>
      </c>
      <c r="F44" s="24">
        <f>ROUND(99.4126807622967,2)</f>
        <v>99.41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ROUND(2.07,5)</f>
        <v>2.07</v>
      </c>
      <c r="D46" s="26">
        <f>F46</f>
        <v>2.07</v>
      </c>
      <c r="E46" s="26">
        <f>F46</f>
        <v>2.07</v>
      </c>
      <c r="F46" s="26">
        <f>ROUND(2.07,5)</f>
        <v>2.07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ROUND(2.34,5)</f>
        <v>2.34</v>
      </c>
      <c r="D48" s="26">
        <f>F48</f>
        <v>2.34</v>
      </c>
      <c r="E48" s="26">
        <f>F48</f>
        <v>2.34</v>
      </c>
      <c r="F48" s="26">
        <f>ROUND(2.34,5)</f>
        <v>2.34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ROUND(2.47,5)</f>
        <v>2.47</v>
      </c>
      <c r="D50" s="26">
        <f>F50</f>
        <v>2.47</v>
      </c>
      <c r="E50" s="26">
        <f>F50</f>
        <v>2.47</v>
      </c>
      <c r="F50" s="26">
        <f>ROUND(2.47,5)</f>
        <v>2.47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ROUND(2.98,5)</f>
        <v>2.98</v>
      </c>
      <c r="D52" s="26">
        <f>F52</f>
        <v>2.98</v>
      </c>
      <c r="E52" s="26">
        <f>F52</f>
        <v>2.98</v>
      </c>
      <c r="F52" s="26">
        <f>ROUND(2.98,5)</f>
        <v>2.98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ROUND(10.12,5)</f>
        <v>10.12</v>
      </c>
      <c r="D54" s="26">
        <f>F54</f>
        <v>10.12</v>
      </c>
      <c r="E54" s="26">
        <f>F54</f>
        <v>10.12</v>
      </c>
      <c r="F54" s="26">
        <f>ROUND(10.12,5)</f>
        <v>10.12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ROUND(7.44,5)</f>
        <v>7.44</v>
      </c>
      <c r="D56" s="26">
        <f>F56</f>
        <v>7.44</v>
      </c>
      <c r="E56" s="26">
        <f>F56</f>
        <v>7.44</v>
      </c>
      <c r="F56" s="26">
        <f>ROUND(7.44,5)</f>
        <v>7.44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ROUND(8.025,3)</f>
        <v>8.025</v>
      </c>
      <c r="D58" s="27">
        <f>F58</f>
        <v>8.025</v>
      </c>
      <c r="E58" s="27">
        <f>F58</f>
        <v>8.025</v>
      </c>
      <c r="F58" s="27">
        <f>ROUND(8.025,3)</f>
        <v>8.025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ROUND(1.89,3)</f>
        <v>1.89</v>
      </c>
      <c r="D60" s="27">
        <f>F60</f>
        <v>1.89</v>
      </c>
      <c r="E60" s="27">
        <f>F60</f>
        <v>1.89</v>
      </c>
      <c r="F60" s="27">
        <f>ROUND(1.89,3)</f>
        <v>1.89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ROUND(2.355,3)</f>
        <v>2.355</v>
      </c>
      <c r="D62" s="27">
        <f>F62</f>
        <v>2.355</v>
      </c>
      <c r="E62" s="27">
        <f>F62</f>
        <v>2.355</v>
      </c>
      <c r="F62" s="27">
        <f>ROUND(2.355,3)</f>
        <v>2.355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ROUND(6.75,3)</f>
        <v>6.75</v>
      </c>
      <c r="D64" s="27">
        <f>F64</f>
        <v>6.75</v>
      </c>
      <c r="E64" s="27">
        <f>F64</f>
        <v>6.75</v>
      </c>
      <c r="F64" s="27">
        <f>ROUND(6.75,3)</f>
        <v>6.75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ROUND(6.86,3)</f>
        <v>6.86</v>
      </c>
      <c r="D66" s="27">
        <f>F66</f>
        <v>6.86</v>
      </c>
      <c r="E66" s="27">
        <f>F66</f>
        <v>6.86</v>
      </c>
      <c r="F66" s="27">
        <f>ROUND(6.86,3)</f>
        <v>6.86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ROUND(7.09,3)</f>
        <v>7.09</v>
      </c>
      <c r="D68" s="27">
        <f>F68</f>
        <v>7.09</v>
      </c>
      <c r="E68" s="27">
        <f>F68</f>
        <v>7.09</v>
      </c>
      <c r="F68" s="27">
        <f>ROUND(7.09,3)</f>
        <v>7.09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ROUND(8.78,3)</f>
        <v>8.78</v>
      </c>
      <c r="D70" s="27">
        <f>F70</f>
        <v>8.78</v>
      </c>
      <c r="E70" s="27">
        <f>F70</f>
        <v>8.78</v>
      </c>
      <c r="F70" s="27">
        <f>ROUND(8.78,3)</f>
        <v>8.78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ROUND(2.25,3)</f>
        <v>2.25</v>
      </c>
      <c r="D72" s="27">
        <f>F72</f>
        <v>2.25</v>
      </c>
      <c r="E72" s="27">
        <f>F72</f>
        <v>2.25</v>
      </c>
      <c r="F72" s="27">
        <f>ROUND(2.25,3)</f>
        <v>2.25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ROUND(1.84,3)</f>
        <v>1.84</v>
      </c>
      <c r="D74" s="27">
        <f>F74</f>
        <v>1.84</v>
      </c>
      <c r="E74" s="27">
        <f>F74</f>
        <v>1.84</v>
      </c>
      <c r="F74" s="27">
        <f>ROUND(1.84,3)</f>
        <v>1.84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ROUND(8.49,3)</f>
        <v>8.49</v>
      </c>
      <c r="D76" s="27">
        <f>F76</f>
        <v>8.49</v>
      </c>
      <c r="E76" s="27">
        <f>F76</f>
        <v>8.49</v>
      </c>
      <c r="F76" s="27">
        <f>ROUND(8.49,3)</f>
        <v>8.49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ROUND(2.07,5)</f>
        <v>2.07</v>
      </c>
      <c r="D78" s="26">
        <f>F78</f>
        <v>135.73659</v>
      </c>
      <c r="E78" s="26">
        <f>F78</f>
        <v>135.73659</v>
      </c>
      <c r="F78" s="26">
        <f>ROUND(135.73659,5)</f>
        <v>135.73659</v>
      </c>
      <c r="G78" s="24"/>
      <c r="H78" s="35"/>
    </row>
    <row r="79" spans="1:8" ht="12.75" customHeight="1">
      <c r="A79" s="22">
        <v>43314</v>
      </c>
      <c r="B79" s="22"/>
      <c r="C79" s="26">
        <f>ROUND(2.07,5)</f>
        <v>2.07</v>
      </c>
      <c r="D79" s="26">
        <f>F79</f>
        <v>136.87204</v>
      </c>
      <c r="E79" s="26">
        <f>F79</f>
        <v>136.87204</v>
      </c>
      <c r="F79" s="26">
        <f>ROUND(136.87204,5)</f>
        <v>136.87204</v>
      </c>
      <c r="G79" s="24"/>
      <c r="H79" s="35"/>
    </row>
    <row r="80" spans="1:8" ht="12.75" customHeight="1">
      <c r="A80" s="22">
        <v>43405</v>
      </c>
      <c r="B80" s="22"/>
      <c r="C80" s="26">
        <f>ROUND(2.07,5)</f>
        <v>2.07</v>
      </c>
      <c r="D80" s="26">
        <f>F80</f>
        <v>139.44632</v>
      </c>
      <c r="E80" s="26">
        <f>F80</f>
        <v>139.44632</v>
      </c>
      <c r="F80" s="26">
        <f>ROUND(139.44632,5)</f>
        <v>139.44632</v>
      </c>
      <c r="G80" s="24"/>
      <c r="H80" s="35"/>
    </row>
    <row r="81" spans="1:8" ht="12.75" customHeight="1">
      <c r="A81" s="22">
        <v>43503</v>
      </c>
      <c r="B81" s="22"/>
      <c r="C81" s="26">
        <f>ROUND(2.07,5)</f>
        <v>2.07</v>
      </c>
      <c r="D81" s="26">
        <f>F81</f>
        <v>140.91352</v>
      </c>
      <c r="E81" s="26">
        <f>F81</f>
        <v>140.91352</v>
      </c>
      <c r="F81" s="26">
        <f>ROUND(140.91352,5)</f>
        <v>140.91352</v>
      </c>
      <c r="G81" s="24"/>
      <c r="H81" s="35"/>
    </row>
    <row r="82" spans="1:8" ht="12.75" customHeight="1">
      <c r="A82" s="22">
        <v>43587</v>
      </c>
      <c r="B82" s="22"/>
      <c r="C82" s="26">
        <f>ROUND(2.07,5)</f>
        <v>2.07</v>
      </c>
      <c r="D82" s="26">
        <f>F82</f>
        <v>143.37034</v>
      </c>
      <c r="E82" s="26">
        <f>F82</f>
        <v>143.37034</v>
      </c>
      <c r="F82" s="26">
        <f>ROUND(143.37034,5)</f>
        <v>143.37034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ROUND(103.95111,5)</f>
        <v>103.95111</v>
      </c>
      <c r="D84" s="26">
        <f>F84</f>
        <v>104.53342</v>
      </c>
      <c r="E84" s="26">
        <f>F84</f>
        <v>104.53342</v>
      </c>
      <c r="F84" s="26">
        <f>ROUND(104.53342,5)</f>
        <v>104.53342</v>
      </c>
      <c r="G84" s="24"/>
      <c r="H84" s="35"/>
    </row>
    <row r="85" spans="1:8" ht="12.75" customHeight="1">
      <c r="A85" s="22">
        <v>43314</v>
      </c>
      <c r="B85" s="22"/>
      <c r="C85" s="26">
        <f>ROUND(103.95111,5)</f>
        <v>103.95111</v>
      </c>
      <c r="D85" s="26">
        <f>F85</f>
        <v>106.4709</v>
      </c>
      <c r="E85" s="26">
        <f>F85</f>
        <v>106.4709</v>
      </c>
      <c r="F85" s="26">
        <f>ROUND(106.4709,5)</f>
        <v>106.4709</v>
      </c>
      <c r="G85" s="24"/>
      <c r="H85" s="35"/>
    </row>
    <row r="86" spans="1:8" ht="12.75" customHeight="1">
      <c r="A86" s="22">
        <v>43405</v>
      </c>
      <c r="B86" s="22"/>
      <c r="C86" s="26">
        <f>ROUND(103.95111,5)</f>
        <v>103.95111</v>
      </c>
      <c r="D86" s="26">
        <f>F86</f>
        <v>107.42692</v>
      </c>
      <c r="E86" s="26">
        <f>F86</f>
        <v>107.42692</v>
      </c>
      <c r="F86" s="26">
        <f>ROUND(107.42692,5)</f>
        <v>107.42692</v>
      </c>
      <c r="G86" s="24"/>
      <c r="H86" s="35"/>
    </row>
    <row r="87" spans="1:8" ht="12.75" customHeight="1">
      <c r="A87" s="22">
        <v>43503</v>
      </c>
      <c r="B87" s="22"/>
      <c r="C87" s="26">
        <f>ROUND(103.95111,5)</f>
        <v>103.95111</v>
      </c>
      <c r="D87" s="26">
        <f>F87</f>
        <v>109.63945</v>
      </c>
      <c r="E87" s="26">
        <f>F87</f>
        <v>109.63945</v>
      </c>
      <c r="F87" s="26">
        <f>ROUND(109.63945,5)</f>
        <v>109.63945</v>
      </c>
      <c r="G87" s="24"/>
      <c r="H87" s="35"/>
    </row>
    <row r="88" spans="1:8" ht="12.75" customHeight="1">
      <c r="A88" s="22">
        <v>43587</v>
      </c>
      <c r="B88" s="22"/>
      <c r="C88" s="26">
        <f>ROUND(103.95111,5)</f>
        <v>103.95111</v>
      </c>
      <c r="D88" s="26">
        <f>F88</f>
        <v>111.55141</v>
      </c>
      <c r="E88" s="26">
        <f>F88</f>
        <v>111.55141</v>
      </c>
      <c r="F88" s="26">
        <f>ROUND(111.55141,5)</f>
        <v>111.55141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ROUND(8.42,5)</f>
        <v>8.42</v>
      </c>
      <c r="D90" s="26">
        <f>F90</f>
        <v>8.43115</v>
      </c>
      <c r="E90" s="26">
        <f>F90</f>
        <v>8.43115</v>
      </c>
      <c r="F90" s="26">
        <f>ROUND(8.43115,5)</f>
        <v>8.43115</v>
      </c>
      <c r="G90" s="24"/>
      <c r="H90" s="35"/>
    </row>
    <row r="91" spans="1:8" ht="12.75" customHeight="1">
      <c r="A91" s="22">
        <v>43314</v>
      </c>
      <c r="B91" s="22"/>
      <c r="C91" s="26">
        <f>ROUND(8.42,5)</f>
        <v>8.42</v>
      </c>
      <c r="D91" s="26">
        <f>F91</f>
        <v>8.46541</v>
      </c>
      <c r="E91" s="26">
        <f>F91</f>
        <v>8.46541</v>
      </c>
      <c r="F91" s="26">
        <f>ROUND(8.46541,5)</f>
        <v>8.46541</v>
      </c>
      <c r="G91" s="24"/>
      <c r="H91" s="35"/>
    </row>
    <row r="92" spans="1:8" ht="12.75" customHeight="1">
      <c r="A92" s="22">
        <v>43405</v>
      </c>
      <c r="B92" s="22"/>
      <c r="C92" s="26">
        <f>ROUND(8.42,5)</f>
        <v>8.42</v>
      </c>
      <c r="D92" s="26">
        <f>F92</f>
        <v>8.49354</v>
      </c>
      <c r="E92" s="26">
        <f>F92</f>
        <v>8.49354</v>
      </c>
      <c r="F92" s="26">
        <f>ROUND(8.49354,5)</f>
        <v>8.49354</v>
      </c>
      <c r="G92" s="24"/>
      <c r="H92" s="35"/>
    </row>
    <row r="93" spans="1:8" ht="12.75" customHeight="1">
      <c r="A93" s="22">
        <v>43503</v>
      </c>
      <c r="B93" s="22"/>
      <c r="C93" s="26">
        <f>ROUND(8.42,5)</f>
        <v>8.42</v>
      </c>
      <c r="D93" s="26">
        <f>F93</f>
        <v>8.52449</v>
      </c>
      <c r="E93" s="26">
        <f>F93</f>
        <v>8.52449</v>
      </c>
      <c r="F93" s="26">
        <f>ROUND(8.52449,5)</f>
        <v>8.52449</v>
      </c>
      <c r="G93" s="24"/>
      <c r="H93" s="35"/>
    </row>
    <row r="94" spans="1:8" ht="12.75" customHeight="1">
      <c r="A94" s="22">
        <v>43587</v>
      </c>
      <c r="B94" s="22"/>
      <c r="C94" s="26">
        <f>ROUND(8.42,5)</f>
        <v>8.42</v>
      </c>
      <c r="D94" s="26">
        <f>F94</f>
        <v>8.55313</v>
      </c>
      <c r="E94" s="26">
        <f>F94</f>
        <v>8.55313</v>
      </c>
      <c r="F94" s="26">
        <f>ROUND(8.55313,5)</f>
        <v>8.55313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ROUND(8.6,5)</f>
        <v>8.6</v>
      </c>
      <c r="D96" s="26">
        <f>F96</f>
        <v>8.61091</v>
      </c>
      <c r="E96" s="26">
        <f>F96</f>
        <v>8.61091</v>
      </c>
      <c r="F96" s="26">
        <f>ROUND(8.61091,5)</f>
        <v>8.61091</v>
      </c>
      <c r="G96" s="24"/>
      <c r="H96" s="35"/>
    </row>
    <row r="97" spans="1:8" ht="12.75" customHeight="1">
      <c r="A97" s="22">
        <v>43314</v>
      </c>
      <c r="B97" s="22"/>
      <c r="C97" s="26">
        <f>ROUND(8.6,5)</f>
        <v>8.6</v>
      </c>
      <c r="D97" s="26">
        <f>F97</f>
        <v>8.64492</v>
      </c>
      <c r="E97" s="26">
        <f>F97</f>
        <v>8.64492</v>
      </c>
      <c r="F97" s="26">
        <f>ROUND(8.64492,5)</f>
        <v>8.64492</v>
      </c>
      <c r="G97" s="24"/>
      <c r="H97" s="35"/>
    </row>
    <row r="98" spans="1:8" ht="12.75" customHeight="1">
      <c r="A98" s="22">
        <v>43405</v>
      </c>
      <c r="B98" s="22"/>
      <c r="C98" s="26">
        <f>ROUND(8.6,5)</f>
        <v>8.6</v>
      </c>
      <c r="D98" s="26">
        <f>F98</f>
        <v>8.67859</v>
      </c>
      <c r="E98" s="26">
        <f>F98</f>
        <v>8.67859</v>
      </c>
      <c r="F98" s="26">
        <f>ROUND(8.67859,5)</f>
        <v>8.67859</v>
      </c>
      <c r="G98" s="24"/>
      <c r="H98" s="35"/>
    </row>
    <row r="99" spans="1:8" ht="12.75" customHeight="1">
      <c r="A99" s="22">
        <v>43503</v>
      </c>
      <c r="B99" s="22"/>
      <c r="C99" s="26">
        <f>ROUND(8.6,5)</f>
        <v>8.6</v>
      </c>
      <c r="D99" s="26">
        <f>F99</f>
        <v>8.71553</v>
      </c>
      <c r="E99" s="26">
        <f>F99</f>
        <v>8.71553</v>
      </c>
      <c r="F99" s="26">
        <f>ROUND(8.71553,5)</f>
        <v>8.71553</v>
      </c>
      <c r="G99" s="24"/>
      <c r="H99" s="35"/>
    </row>
    <row r="100" spans="1:8" ht="12.75" customHeight="1">
      <c r="A100" s="22">
        <v>43587</v>
      </c>
      <c r="B100" s="22"/>
      <c r="C100" s="26">
        <f>ROUND(8.6,5)</f>
        <v>8.6</v>
      </c>
      <c r="D100" s="26">
        <f>F100</f>
        <v>8.74539</v>
      </c>
      <c r="E100" s="26">
        <f>F100</f>
        <v>8.74539</v>
      </c>
      <c r="F100" s="26">
        <f>ROUND(8.74539,5)</f>
        <v>8.74539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ROUND(108.47458,5)</f>
        <v>108.47458</v>
      </c>
      <c r="D102" s="26">
        <f>F102</f>
        <v>109.08222</v>
      </c>
      <c r="E102" s="26">
        <f>F102</f>
        <v>109.08222</v>
      </c>
      <c r="F102" s="26">
        <f>ROUND(109.08222,5)</f>
        <v>109.08222</v>
      </c>
      <c r="G102" s="24"/>
      <c r="H102" s="35"/>
    </row>
    <row r="103" spans="1:8" ht="12.75" customHeight="1">
      <c r="A103" s="22">
        <v>43314</v>
      </c>
      <c r="B103" s="22"/>
      <c r="C103" s="26">
        <f>ROUND(108.47458,5)</f>
        <v>108.47458</v>
      </c>
      <c r="D103" s="26">
        <f>F103</f>
        <v>111.10396</v>
      </c>
      <c r="E103" s="26">
        <f>F103</f>
        <v>111.10396</v>
      </c>
      <c r="F103" s="26">
        <f>ROUND(111.10396,5)</f>
        <v>111.10396</v>
      </c>
      <c r="G103" s="24"/>
      <c r="H103" s="35"/>
    </row>
    <row r="104" spans="1:8" ht="12.75" customHeight="1">
      <c r="A104" s="22">
        <v>43405</v>
      </c>
      <c r="B104" s="22"/>
      <c r="C104" s="26">
        <f>ROUND(108.47458,5)</f>
        <v>108.47458</v>
      </c>
      <c r="D104" s="26">
        <f>F104</f>
        <v>112.07356</v>
      </c>
      <c r="E104" s="26">
        <f>F104</f>
        <v>112.07356</v>
      </c>
      <c r="F104" s="26">
        <f>ROUND(112.07356,5)</f>
        <v>112.07356</v>
      </c>
      <c r="G104" s="24"/>
      <c r="H104" s="35"/>
    </row>
    <row r="105" spans="1:8" ht="12.75" customHeight="1">
      <c r="A105" s="22">
        <v>43503</v>
      </c>
      <c r="B105" s="22"/>
      <c r="C105" s="26">
        <f>ROUND(108.47458,5)</f>
        <v>108.47458</v>
      </c>
      <c r="D105" s="26">
        <f>F105</f>
        <v>114.38176</v>
      </c>
      <c r="E105" s="26">
        <f>F105</f>
        <v>114.38176</v>
      </c>
      <c r="F105" s="26">
        <f>ROUND(114.38176,5)</f>
        <v>114.38176</v>
      </c>
      <c r="G105" s="24"/>
      <c r="H105" s="35"/>
    </row>
    <row r="106" spans="1:8" ht="12.75" customHeight="1">
      <c r="A106" s="22">
        <v>43587</v>
      </c>
      <c r="B106" s="22"/>
      <c r="C106" s="26">
        <f>ROUND(108.47458,5)</f>
        <v>108.47458</v>
      </c>
      <c r="D106" s="26">
        <f>F106</f>
        <v>116.33588</v>
      </c>
      <c r="E106" s="26">
        <f>F106</f>
        <v>116.33588</v>
      </c>
      <c r="F106" s="26">
        <f>ROUND(116.33588,5)</f>
        <v>116.33588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ROUND(8.85,5)</f>
        <v>8.85</v>
      </c>
      <c r="D108" s="26">
        <f>F108</f>
        <v>8.86266</v>
      </c>
      <c r="E108" s="26">
        <f>F108</f>
        <v>8.86266</v>
      </c>
      <c r="F108" s="26">
        <f>ROUND(8.86266,5)</f>
        <v>8.86266</v>
      </c>
      <c r="G108" s="24"/>
      <c r="H108" s="35"/>
    </row>
    <row r="109" spans="1:8" ht="12.75" customHeight="1">
      <c r="A109" s="22">
        <v>43314</v>
      </c>
      <c r="B109" s="22"/>
      <c r="C109" s="26">
        <f>ROUND(8.85,5)</f>
        <v>8.85</v>
      </c>
      <c r="D109" s="26">
        <f>F109</f>
        <v>8.90236</v>
      </c>
      <c r="E109" s="26">
        <f>F109</f>
        <v>8.90236</v>
      </c>
      <c r="F109" s="26">
        <f>ROUND(8.90236,5)</f>
        <v>8.90236</v>
      </c>
      <c r="G109" s="24"/>
      <c r="H109" s="35"/>
    </row>
    <row r="110" spans="1:8" ht="12.75" customHeight="1">
      <c r="A110" s="22">
        <v>43405</v>
      </c>
      <c r="B110" s="22"/>
      <c r="C110" s="26">
        <f>ROUND(8.85,5)</f>
        <v>8.85</v>
      </c>
      <c r="D110" s="26">
        <f>F110</f>
        <v>8.93673</v>
      </c>
      <c r="E110" s="26">
        <f>F110</f>
        <v>8.93673</v>
      </c>
      <c r="F110" s="26">
        <f>ROUND(8.93673,5)</f>
        <v>8.93673</v>
      </c>
      <c r="G110" s="24"/>
      <c r="H110" s="35"/>
    </row>
    <row r="111" spans="1:8" ht="12.75" customHeight="1">
      <c r="A111" s="22">
        <v>43503</v>
      </c>
      <c r="B111" s="22"/>
      <c r="C111" s="26">
        <f>ROUND(8.85,5)</f>
        <v>8.85</v>
      </c>
      <c r="D111" s="26">
        <f>F111</f>
        <v>8.97466</v>
      </c>
      <c r="E111" s="26">
        <f>F111</f>
        <v>8.97466</v>
      </c>
      <c r="F111" s="26">
        <f>ROUND(8.97466,5)</f>
        <v>8.97466</v>
      </c>
      <c r="G111" s="24"/>
      <c r="H111" s="35"/>
    </row>
    <row r="112" spans="1:8" ht="12.75" customHeight="1">
      <c r="A112" s="22">
        <v>43587</v>
      </c>
      <c r="B112" s="22"/>
      <c r="C112" s="26">
        <f>ROUND(8.85,5)</f>
        <v>8.85</v>
      </c>
      <c r="D112" s="26">
        <f>F112</f>
        <v>9.00889</v>
      </c>
      <c r="E112" s="26">
        <f>F112</f>
        <v>9.00889</v>
      </c>
      <c r="F112" s="26">
        <f>ROUND(9.00889,5)</f>
        <v>9.00889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ROUND(2.34,5)</f>
        <v>2.34</v>
      </c>
      <c r="D114" s="26">
        <f>F114</f>
        <v>134.47291</v>
      </c>
      <c r="E114" s="26">
        <f>F114</f>
        <v>134.47291</v>
      </c>
      <c r="F114" s="26">
        <f>ROUND(134.47291,5)</f>
        <v>134.47291</v>
      </c>
      <c r="G114" s="24"/>
      <c r="H114" s="35"/>
    </row>
    <row r="115" spans="1:8" ht="12.75" customHeight="1">
      <c r="A115" s="22">
        <v>43314</v>
      </c>
      <c r="B115" s="22"/>
      <c r="C115" s="26">
        <f>ROUND(2.34,5)</f>
        <v>2.34</v>
      </c>
      <c r="D115" s="26">
        <f>F115</f>
        <v>135.41238</v>
      </c>
      <c r="E115" s="26">
        <f>F115</f>
        <v>135.41238</v>
      </c>
      <c r="F115" s="26">
        <f>ROUND(135.41238,5)</f>
        <v>135.41238</v>
      </c>
      <c r="G115" s="24"/>
      <c r="H115" s="35"/>
    </row>
    <row r="116" spans="1:8" ht="12.75" customHeight="1">
      <c r="A116" s="22">
        <v>43405</v>
      </c>
      <c r="B116" s="22"/>
      <c r="C116" s="26">
        <f>ROUND(2.34,5)</f>
        <v>2.34</v>
      </c>
      <c r="D116" s="26">
        <f>F116</f>
        <v>137.95916</v>
      </c>
      <c r="E116" s="26">
        <f>F116</f>
        <v>137.95916</v>
      </c>
      <c r="F116" s="26">
        <f>ROUND(137.95916,5)</f>
        <v>137.95916</v>
      </c>
      <c r="G116" s="24"/>
      <c r="H116" s="35"/>
    </row>
    <row r="117" spans="1:8" ht="12.75" customHeight="1">
      <c r="A117" s="22">
        <v>43503</v>
      </c>
      <c r="B117" s="22"/>
      <c r="C117" s="26">
        <f>ROUND(2.34,5)</f>
        <v>2.34</v>
      </c>
      <c r="D117" s="26">
        <f>F117</f>
        <v>139.22014</v>
      </c>
      <c r="E117" s="26">
        <f>F117</f>
        <v>139.22014</v>
      </c>
      <c r="F117" s="26">
        <f>ROUND(139.22014,5)</f>
        <v>139.22014</v>
      </c>
      <c r="G117" s="24"/>
      <c r="H117" s="35"/>
    </row>
    <row r="118" spans="1:8" ht="12.75" customHeight="1">
      <c r="A118" s="22">
        <v>43587</v>
      </c>
      <c r="B118" s="22"/>
      <c r="C118" s="26">
        <f>ROUND(2.34,5)</f>
        <v>2.34</v>
      </c>
      <c r="D118" s="26">
        <f>F118</f>
        <v>141.64733</v>
      </c>
      <c r="E118" s="26">
        <f>F118</f>
        <v>141.64733</v>
      </c>
      <c r="F118" s="26">
        <f>ROUND(141.64733,5)</f>
        <v>141.64733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ROUND(8.91,5)</f>
        <v>8.91</v>
      </c>
      <c r="D120" s="26">
        <f>F120</f>
        <v>8.92264</v>
      </c>
      <c r="E120" s="26">
        <f>F120</f>
        <v>8.92264</v>
      </c>
      <c r="F120" s="26">
        <f>ROUND(8.92264,5)</f>
        <v>8.92264</v>
      </c>
      <c r="G120" s="24"/>
      <c r="H120" s="35"/>
    </row>
    <row r="121" spans="1:8" ht="12.75" customHeight="1">
      <c r="A121" s="22">
        <v>43314</v>
      </c>
      <c r="B121" s="22"/>
      <c r="C121" s="26">
        <f>ROUND(8.91,5)</f>
        <v>8.91</v>
      </c>
      <c r="D121" s="26">
        <f>F121</f>
        <v>8.96233</v>
      </c>
      <c r="E121" s="26">
        <f>F121</f>
        <v>8.96233</v>
      </c>
      <c r="F121" s="26">
        <f>ROUND(8.96233,5)</f>
        <v>8.96233</v>
      </c>
      <c r="G121" s="24"/>
      <c r="H121" s="35"/>
    </row>
    <row r="122" spans="1:8" ht="12.75" customHeight="1">
      <c r="A122" s="22">
        <v>43405</v>
      </c>
      <c r="B122" s="22"/>
      <c r="C122" s="26">
        <f>ROUND(8.91,5)</f>
        <v>8.91</v>
      </c>
      <c r="D122" s="26">
        <f>F122</f>
        <v>8.99681</v>
      </c>
      <c r="E122" s="26">
        <f>F122</f>
        <v>8.99681</v>
      </c>
      <c r="F122" s="26">
        <f>ROUND(8.99681,5)</f>
        <v>8.99681</v>
      </c>
      <c r="G122" s="24"/>
      <c r="H122" s="35"/>
    </row>
    <row r="123" spans="1:8" ht="12.75" customHeight="1">
      <c r="A123" s="22">
        <v>43503</v>
      </c>
      <c r="B123" s="22"/>
      <c r="C123" s="26">
        <f>ROUND(8.91,5)</f>
        <v>8.91</v>
      </c>
      <c r="D123" s="26">
        <f>F123</f>
        <v>9.03484</v>
      </c>
      <c r="E123" s="26">
        <f>F123</f>
        <v>9.03484</v>
      </c>
      <c r="F123" s="26">
        <f>ROUND(9.03484,5)</f>
        <v>9.03484</v>
      </c>
      <c r="G123" s="24"/>
      <c r="H123" s="35"/>
    </row>
    <row r="124" spans="1:8" ht="12.75" customHeight="1">
      <c r="A124" s="22">
        <v>43587</v>
      </c>
      <c r="B124" s="22"/>
      <c r="C124" s="26">
        <f>ROUND(8.91,5)</f>
        <v>8.91</v>
      </c>
      <c r="D124" s="26">
        <f>F124</f>
        <v>9.06904</v>
      </c>
      <c r="E124" s="26">
        <f>F124</f>
        <v>9.06904</v>
      </c>
      <c r="F124" s="26">
        <f>ROUND(9.06904,5)</f>
        <v>9.06904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ROUND(8.96,5)</f>
        <v>8.96</v>
      </c>
      <c r="D126" s="26">
        <f>F126</f>
        <v>8.97238</v>
      </c>
      <c r="E126" s="26">
        <f>F126</f>
        <v>8.97238</v>
      </c>
      <c r="F126" s="26">
        <f>ROUND(8.97238,5)</f>
        <v>8.97238</v>
      </c>
      <c r="G126" s="24"/>
      <c r="H126" s="35"/>
    </row>
    <row r="127" spans="1:8" ht="12.75" customHeight="1">
      <c r="A127" s="22">
        <v>43314</v>
      </c>
      <c r="B127" s="22"/>
      <c r="C127" s="26">
        <f>ROUND(8.96,5)</f>
        <v>8.96</v>
      </c>
      <c r="D127" s="26">
        <f>F127</f>
        <v>9.01126</v>
      </c>
      <c r="E127" s="26">
        <f>F127</f>
        <v>9.01126</v>
      </c>
      <c r="F127" s="26">
        <f>ROUND(9.01126,5)</f>
        <v>9.01126</v>
      </c>
      <c r="G127" s="24"/>
      <c r="H127" s="35"/>
    </row>
    <row r="128" spans="1:8" ht="12.75" customHeight="1">
      <c r="A128" s="22">
        <v>43405</v>
      </c>
      <c r="B128" s="22"/>
      <c r="C128" s="26">
        <f>ROUND(8.96,5)</f>
        <v>8.96</v>
      </c>
      <c r="D128" s="26">
        <f>F128</f>
        <v>9.04512</v>
      </c>
      <c r="E128" s="26">
        <f>F128</f>
        <v>9.04512</v>
      </c>
      <c r="F128" s="26">
        <f>ROUND(9.04512,5)</f>
        <v>9.04512</v>
      </c>
      <c r="G128" s="24"/>
      <c r="H128" s="35"/>
    </row>
    <row r="129" spans="1:8" ht="12.75" customHeight="1">
      <c r="A129" s="22">
        <v>43503</v>
      </c>
      <c r="B129" s="22"/>
      <c r="C129" s="26">
        <f>ROUND(8.96,5)</f>
        <v>8.96</v>
      </c>
      <c r="D129" s="26">
        <f>F129</f>
        <v>9.08241</v>
      </c>
      <c r="E129" s="26">
        <f>F129</f>
        <v>9.08241</v>
      </c>
      <c r="F129" s="26">
        <f>ROUND(9.08241,5)</f>
        <v>9.08241</v>
      </c>
      <c r="G129" s="24"/>
      <c r="H129" s="35"/>
    </row>
    <row r="130" spans="1:8" ht="12.75" customHeight="1">
      <c r="A130" s="22">
        <v>43587</v>
      </c>
      <c r="B130" s="22"/>
      <c r="C130" s="26">
        <f>ROUND(8.96,5)</f>
        <v>8.96</v>
      </c>
      <c r="D130" s="26">
        <f>F130</f>
        <v>9.11582</v>
      </c>
      <c r="E130" s="26">
        <f>F130</f>
        <v>9.11582</v>
      </c>
      <c r="F130" s="26">
        <f>ROUND(9.11582,5)</f>
        <v>9.11582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ROUND(128.67019,5)</f>
        <v>128.67019</v>
      </c>
      <c r="D132" s="26">
        <f>F132</f>
        <v>129.39098</v>
      </c>
      <c r="E132" s="26">
        <f>F132</f>
        <v>129.39098</v>
      </c>
      <c r="F132" s="26">
        <f>ROUND(129.39098,5)</f>
        <v>129.39098</v>
      </c>
      <c r="G132" s="24"/>
      <c r="H132" s="35"/>
    </row>
    <row r="133" spans="1:8" ht="12.75" customHeight="1">
      <c r="A133" s="22">
        <v>43314</v>
      </c>
      <c r="B133" s="22"/>
      <c r="C133" s="26">
        <f>ROUND(128.67019,5)</f>
        <v>128.67019</v>
      </c>
      <c r="D133" s="26">
        <f>F133</f>
        <v>131.7892</v>
      </c>
      <c r="E133" s="26">
        <f>F133</f>
        <v>131.7892</v>
      </c>
      <c r="F133" s="26">
        <f>ROUND(131.7892,5)</f>
        <v>131.7892</v>
      </c>
      <c r="G133" s="24"/>
      <c r="H133" s="35"/>
    </row>
    <row r="134" spans="1:8" ht="12.75" customHeight="1">
      <c r="A134" s="22">
        <v>43405</v>
      </c>
      <c r="B134" s="22"/>
      <c r="C134" s="26">
        <f>ROUND(128.67019,5)</f>
        <v>128.67019</v>
      </c>
      <c r="D134" s="26">
        <f>F134</f>
        <v>132.62366</v>
      </c>
      <c r="E134" s="26">
        <f>F134</f>
        <v>132.62366</v>
      </c>
      <c r="F134" s="26">
        <f>ROUND(132.62366,5)</f>
        <v>132.62366</v>
      </c>
      <c r="G134" s="24"/>
      <c r="H134" s="35"/>
    </row>
    <row r="135" spans="1:8" ht="12.75" customHeight="1">
      <c r="A135" s="22">
        <v>43503</v>
      </c>
      <c r="B135" s="22"/>
      <c r="C135" s="26">
        <f>ROUND(128.67019,5)</f>
        <v>128.67019</v>
      </c>
      <c r="D135" s="26">
        <f>F135</f>
        <v>135.35495</v>
      </c>
      <c r="E135" s="26">
        <f>F135</f>
        <v>135.35495</v>
      </c>
      <c r="F135" s="26">
        <f>ROUND(135.35495,5)</f>
        <v>135.35495</v>
      </c>
      <c r="G135" s="24"/>
      <c r="H135" s="35"/>
    </row>
    <row r="136" spans="1:8" ht="12.75" customHeight="1">
      <c r="A136" s="22">
        <v>43587</v>
      </c>
      <c r="B136" s="22"/>
      <c r="C136" s="26">
        <f>ROUND(128.67019,5)</f>
        <v>128.67019</v>
      </c>
      <c r="D136" s="26">
        <f>F136</f>
        <v>137.71526</v>
      </c>
      <c r="E136" s="26">
        <f>F136</f>
        <v>137.71526</v>
      </c>
      <c r="F136" s="26">
        <f>ROUND(137.71526,5)</f>
        <v>137.71526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ROUND(2.47,5)</f>
        <v>2.47</v>
      </c>
      <c r="D138" s="26">
        <f>F138</f>
        <v>137.54111</v>
      </c>
      <c r="E138" s="26">
        <f>F138</f>
        <v>137.54111</v>
      </c>
      <c r="F138" s="26">
        <f>ROUND(137.54111,5)</f>
        <v>137.54111</v>
      </c>
      <c r="G138" s="24"/>
      <c r="H138" s="35"/>
    </row>
    <row r="139" spans="1:8" ht="12.75" customHeight="1">
      <c r="A139" s="22">
        <v>43314</v>
      </c>
      <c r="B139" s="22"/>
      <c r="C139" s="26">
        <f>ROUND(2.47,5)</f>
        <v>2.47</v>
      </c>
      <c r="D139" s="26">
        <f>F139</f>
        <v>138.35763</v>
      </c>
      <c r="E139" s="26">
        <f>F139</f>
        <v>138.35763</v>
      </c>
      <c r="F139" s="26">
        <f>ROUND(138.35763,5)</f>
        <v>138.35763</v>
      </c>
      <c r="G139" s="24"/>
      <c r="H139" s="35"/>
    </row>
    <row r="140" spans="1:8" ht="12.75" customHeight="1">
      <c r="A140" s="22">
        <v>43405</v>
      </c>
      <c r="B140" s="22"/>
      <c r="C140" s="26">
        <f>ROUND(2.47,5)</f>
        <v>2.47</v>
      </c>
      <c r="D140" s="26">
        <f>F140</f>
        <v>140.95967</v>
      </c>
      <c r="E140" s="26">
        <f>F140</f>
        <v>140.95967</v>
      </c>
      <c r="F140" s="26">
        <f>ROUND(140.95967,5)</f>
        <v>140.95967</v>
      </c>
      <c r="G140" s="24"/>
      <c r="H140" s="35"/>
    </row>
    <row r="141" spans="1:8" ht="12.75" customHeight="1">
      <c r="A141" s="22">
        <v>43503</v>
      </c>
      <c r="B141" s="22"/>
      <c r="C141" s="26">
        <f>ROUND(2.47,5)</f>
        <v>2.47</v>
      </c>
      <c r="D141" s="26">
        <f>F141</f>
        <v>142.10226</v>
      </c>
      <c r="E141" s="26">
        <f>F141</f>
        <v>142.10226</v>
      </c>
      <c r="F141" s="26">
        <f>ROUND(142.10226,5)</f>
        <v>142.10226</v>
      </c>
      <c r="G141" s="24"/>
      <c r="H141" s="35"/>
    </row>
    <row r="142" spans="1:8" ht="12.75" customHeight="1">
      <c r="A142" s="22">
        <v>43587</v>
      </c>
      <c r="B142" s="22"/>
      <c r="C142" s="26">
        <f>ROUND(2.47,5)</f>
        <v>2.47</v>
      </c>
      <c r="D142" s="26">
        <f>F142</f>
        <v>144.57986</v>
      </c>
      <c r="E142" s="26">
        <f>F142</f>
        <v>144.57986</v>
      </c>
      <c r="F142" s="26">
        <f>ROUND(144.57986,5)</f>
        <v>144.57986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ROUND(2.98,5)</f>
        <v>2.98</v>
      </c>
      <c r="D144" s="26">
        <f>F144</f>
        <v>132.75904</v>
      </c>
      <c r="E144" s="26">
        <f>F144</f>
        <v>132.75904</v>
      </c>
      <c r="F144" s="26">
        <f>ROUND(132.75904,5)</f>
        <v>132.75904</v>
      </c>
      <c r="G144" s="24"/>
      <c r="H144" s="35"/>
    </row>
    <row r="145" spans="1:8" ht="12.75" customHeight="1">
      <c r="A145" s="22">
        <v>43314</v>
      </c>
      <c r="B145" s="22"/>
      <c r="C145" s="26">
        <f>ROUND(2.98,5)</f>
        <v>2.98</v>
      </c>
      <c r="D145" s="26">
        <f>F145</f>
        <v>135.21971</v>
      </c>
      <c r="E145" s="26">
        <f>F145</f>
        <v>135.21971</v>
      </c>
      <c r="F145" s="26">
        <f>ROUND(135.21971,5)</f>
        <v>135.21971</v>
      </c>
      <c r="G145" s="24"/>
      <c r="H145" s="35"/>
    </row>
    <row r="146" spans="1:8" ht="12.75" customHeight="1">
      <c r="A146" s="22">
        <v>43405</v>
      </c>
      <c r="B146" s="22"/>
      <c r="C146" s="26">
        <f>ROUND(2.98,5)</f>
        <v>2.98</v>
      </c>
      <c r="D146" s="26">
        <f>F146</f>
        <v>135.96031</v>
      </c>
      <c r="E146" s="26">
        <f>F146</f>
        <v>135.96031</v>
      </c>
      <c r="F146" s="26">
        <f>ROUND(135.96031,5)</f>
        <v>135.96031</v>
      </c>
      <c r="G146" s="24"/>
      <c r="H146" s="35"/>
    </row>
    <row r="147" spans="1:8" ht="12.75" customHeight="1">
      <c r="A147" s="22">
        <v>43503</v>
      </c>
      <c r="B147" s="22"/>
      <c r="C147" s="26">
        <f>ROUND(2.98,5)</f>
        <v>2.98</v>
      </c>
      <c r="D147" s="26">
        <f>F147</f>
        <v>138.76041</v>
      </c>
      <c r="E147" s="26">
        <f>F147</f>
        <v>138.76041</v>
      </c>
      <c r="F147" s="26">
        <f>ROUND(138.76041,5)</f>
        <v>138.76041</v>
      </c>
      <c r="G147" s="24"/>
      <c r="H147" s="35"/>
    </row>
    <row r="148" spans="1:8" ht="12.75" customHeight="1">
      <c r="A148" s="22">
        <v>43587</v>
      </c>
      <c r="B148" s="22"/>
      <c r="C148" s="26">
        <f>ROUND(2.98,5)</f>
        <v>2.98</v>
      </c>
      <c r="D148" s="26">
        <f>F148</f>
        <v>141.17992</v>
      </c>
      <c r="E148" s="26">
        <f>F148</f>
        <v>141.17992</v>
      </c>
      <c r="F148" s="26">
        <f>ROUND(141.17992,5)</f>
        <v>141.17992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ROUND(10.12,5)</f>
        <v>10.12</v>
      </c>
      <c r="D150" s="26">
        <f>F150</f>
        <v>10.14403</v>
      </c>
      <c r="E150" s="26">
        <f>F150</f>
        <v>10.14403</v>
      </c>
      <c r="F150" s="26">
        <f>ROUND(10.14403,5)</f>
        <v>10.14403</v>
      </c>
      <c r="G150" s="24"/>
      <c r="H150" s="35"/>
    </row>
    <row r="151" spans="1:8" ht="12.75" customHeight="1">
      <c r="A151" s="22">
        <v>43314</v>
      </c>
      <c r="B151" s="22"/>
      <c r="C151" s="26">
        <f>ROUND(10.12,5)</f>
        <v>10.12</v>
      </c>
      <c r="D151" s="26">
        <f>F151</f>
        <v>10.2225</v>
      </c>
      <c r="E151" s="26">
        <f>F151</f>
        <v>10.2225</v>
      </c>
      <c r="F151" s="26">
        <f>ROUND(10.2225,5)</f>
        <v>10.2225</v>
      </c>
      <c r="G151" s="24"/>
      <c r="H151" s="35"/>
    </row>
    <row r="152" spans="1:8" ht="12.75" customHeight="1">
      <c r="A152" s="22">
        <v>43405</v>
      </c>
      <c r="B152" s="22"/>
      <c r="C152" s="26">
        <f>ROUND(10.12,5)</f>
        <v>10.12</v>
      </c>
      <c r="D152" s="26">
        <f>F152</f>
        <v>10.30436</v>
      </c>
      <c r="E152" s="26">
        <f>F152</f>
        <v>10.30436</v>
      </c>
      <c r="F152" s="26">
        <f>ROUND(10.30436,5)</f>
        <v>10.30436</v>
      </c>
      <c r="G152" s="24"/>
      <c r="H152" s="35"/>
    </row>
    <row r="153" spans="1:8" ht="12.75" customHeight="1">
      <c r="A153" s="22">
        <v>43503</v>
      </c>
      <c r="B153" s="22"/>
      <c r="C153" s="26">
        <f>ROUND(10.12,5)</f>
        <v>10.12</v>
      </c>
      <c r="D153" s="26">
        <f>F153</f>
        <v>10.39744</v>
      </c>
      <c r="E153" s="26">
        <f>F153</f>
        <v>10.39744</v>
      </c>
      <c r="F153" s="26">
        <f>ROUND(10.39744,5)</f>
        <v>10.39744</v>
      </c>
      <c r="G153" s="24"/>
      <c r="H153" s="35"/>
    </row>
    <row r="154" spans="1:8" ht="12.75" customHeight="1">
      <c r="A154" s="22">
        <v>43587</v>
      </c>
      <c r="B154" s="22"/>
      <c r="C154" s="26">
        <f>ROUND(10.12,5)</f>
        <v>10.12</v>
      </c>
      <c r="D154" s="26">
        <f>F154</f>
        <v>10.47441</v>
      </c>
      <c r="E154" s="26">
        <f>F154</f>
        <v>10.47441</v>
      </c>
      <c r="F154" s="26">
        <f>ROUND(10.47441,5)</f>
        <v>10.47441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ROUND(10.3,5)</f>
        <v>10.3</v>
      </c>
      <c r="D156" s="26">
        <f>F156</f>
        <v>10.32426</v>
      </c>
      <c r="E156" s="26">
        <f>F156</f>
        <v>10.32426</v>
      </c>
      <c r="F156" s="26">
        <f>ROUND(10.32426,5)</f>
        <v>10.32426</v>
      </c>
      <c r="G156" s="24"/>
      <c r="H156" s="35"/>
    </row>
    <row r="157" spans="1:8" ht="12.75" customHeight="1">
      <c r="A157" s="22">
        <v>43314</v>
      </c>
      <c r="B157" s="22"/>
      <c r="C157" s="26">
        <f>ROUND(10.3,5)</f>
        <v>10.3</v>
      </c>
      <c r="D157" s="26">
        <f>F157</f>
        <v>10.4006</v>
      </c>
      <c r="E157" s="26">
        <f>F157</f>
        <v>10.4006</v>
      </c>
      <c r="F157" s="26">
        <f>ROUND(10.4006,5)</f>
        <v>10.4006</v>
      </c>
      <c r="G157" s="24"/>
      <c r="H157" s="35"/>
    </row>
    <row r="158" spans="1:8" ht="12.75" customHeight="1">
      <c r="A158" s="22">
        <v>43405</v>
      </c>
      <c r="B158" s="22"/>
      <c r="C158" s="26">
        <f>ROUND(10.3,5)</f>
        <v>10.3</v>
      </c>
      <c r="D158" s="26">
        <f>F158</f>
        <v>10.47897</v>
      </c>
      <c r="E158" s="26">
        <f>F158</f>
        <v>10.47897</v>
      </c>
      <c r="F158" s="26">
        <f>ROUND(10.47897,5)</f>
        <v>10.47897</v>
      </c>
      <c r="G158" s="24"/>
      <c r="H158" s="35"/>
    </row>
    <row r="159" spans="1:8" ht="12.75" customHeight="1">
      <c r="A159" s="22">
        <v>43503</v>
      </c>
      <c r="B159" s="22"/>
      <c r="C159" s="26">
        <f>ROUND(10.3,5)</f>
        <v>10.3</v>
      </c>
      <c r="D159" s="26">
        <f>F159</f>
        <v>10.56488</v>
      </c>
      <c r="E159" s="26">
        <f>F159</f>
        <v>10.56488</v>
      </c>
      <c r="F159" s="26">
        <f>ROUND(10.56488,5)</f>
        <v>10.56488</v>
      </c>
      <c r="G159" s="24"/>
      <c r="H159" s="35"/>
    </row>
    <row r="160" spans="1:8" ht="12.75" customHeight="1">
      <c r="A160" s="22">
        <v>43587</v>
      </c>
      <c r="B160" s="22"/>
      <c r="C160" s="26">
        <f>ROUND(10.3,5)</f>
        <v>10.3</v>
      </c>
      <c r="D160" s="26">
        <f>F160</f>
        <v>10.63991</v>
      </c>
      <c r="E160" s="26">
        <f>F160</f>
        <v>10.63991</v>
      </c>
      <c r="F160" s="26">
        <f>ROUND(10.63991,5)</f>
        <v>10.63991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ROUND(7.44,5)</f>
        <v>7.44</v>
      </c>
      <c r="D162" s="26">
        <f>F162</f>
        <v>7.43976</v>
      </c>
      <c r="E162" s="26">
        <f>F162</f>
        <v>7.43976</v>
      </c>
      <c r="F162" s="26">
        <f>ROUND(7.43976,5)</f>
        <v>7.43976</v>
      </c>
      <c r="G162" s="24"/>
      <c r="H162" s="35"/>
    </row>
    <row r="163" spans="1:8" ht="12.75" customHeight="1">
      <c r="A163" s="22">
        <v>43314</v>
      </c>
      <c r="B163" s="22"/>
      <c r="C163" s="26">
        <f>ROUND(7.44,5)</f>
        <v>7.44</v>
      </c>
      <c r="D163" s="26">
        <f>F163</f>
        <v>7.43286</v>
      </c>
      <c r="E163" s="26">
        <f>F163</f>
        <v>7.43286</v>
      </c>
      <c r="F163" s="26">
        <f>ROUND(7.43286,5)</f>
        <v>7.43286</v>
      </c>
      <c r="G163" s="24"/>
      <c r="H163" s="35"/>
    </row>
    <row r="164" spans="1:8" ht="12.75" customHeight="1">
      <c r="A164" s="22">
        <v>43405</v>
      </c>
      <c r="B164" s="22"/>
      <c r="C164" s="26">
        <f>ROUND(7.44,5)</f>
        <v>7.44</v>
      </c>
      <c r="D164" s="26">
        <f>F164</f>
        <v>7.42594</v>
      </c>
      <c r="E164" s="26">
        <f>F164</f>
        <v>7.42594</v>
      </c>
      <c r="F164" s="26">
        <f>ROUND(7.42594,5)</f>
        <v>7.42594</v>
      </c>
      <c r="G164" s="24"/>
      <c r="H164" s="35"/>
    </row>
    <row r="165" spans="1:8" ht="12.75" customHeight="1">
      <c r="A165" s="22">
        <v>43503</v>
      </c>
      <c r="B165" s="22"/>
      <c r="C165" s="26">
        <f>ROUND(7.44,5)</f>
        <v>7.44</v>
      </c>
      <c r="D165" s="26">
        <f>F165</f>
        <v>7.41585</v>
      </c>
      <c r="E165" s="26">
        <f>F165</f>
        <v>7.41585</v>
      </c>
      <c r="F165" s="26">
        <f>ROUND(7.41585,5)</f>
        <v>7.41585</v>
      </c>
      <c r="G165" s="24"/>
      <c r="H165" s="35"/>
    </row>
    <row r="166" spans="1:8" ht="12.75" customHeight="1">
      <c r="A166" s="22">
        <v>43587</v>
      </c>
      <c r="B166" s="22"/>
      <c r="C166" s="26">
        <f>ROUND(7.44,5)</f>
        <v>7.44</v>
      </c>
      <c r="D166" s="26">
        <f>F166</f>
        <v>7.3931</v>
      </c>
      <c r="E166" s="26">
        <f>F166</f>
        <v>7.3931</v>
      </c>
      <c r="F166" s="26">
        <f>ROUND(7.3931,5)</f>
        <v>7.3931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ROUND(8.75,5)</f>
        <v>8.75</v>
      </c>
      <c r="D168" s="26">
        <f>F168</f>
        <v>8.76109</v>
      </c>
      <c r="E168" s="26">
        <f>F168</f>
        <v>8.76109</v>
      </c>
      <c r="F168" s="26">
        <f>ROUND(8.76109,5)</f>
        <v>8.76109</v>
      </c>
      <c r="G168" s="24"/>
      <c r="H168" s="35"/>
    </row>
    <row r="169" spans="1:8" ht="12.75" customHeight="1">
      <c r="A169" s="22">
        <v>43314</v>
      </c>
      <c r="B169" s="22"/>
      <c r="C169" s="26">
        <f>ROUND(8.75,5)</f>
        <v>8.75</v>
      </c>
      <c r="D169" s="26">
        <f>F169</f>
        <v>8.79582</v>
      </c>
      <c r="E169" s="26">
        <f>F169</f>
        <v>8.79582</v>
      </c>
      <c r="F169" s="26">
        <f>ROUND(8.79582,5)</f>
        <v>8.79582</v>
      </c>
      <c r="G169" s="24"/>
      <c r="H169" s="35"/>
    </row>
    <row r="170" spans="1:8" ht="12.75" customHeight="1">
      <c r="A170" s="22">
        <v>43405</v>
      </c>
      <c r="B170" s="22"/>
      <c r="C170" s="26">
        <f>ROUND(8.75,5)</f>
        <v>8.75</v>
      </c>
      <c r="D170" s="26">
        <f>F170</f>
        <v>8.83225</v>
      </c>
      <c r="E170" s="26">
        <f>F170</f>
        <v>8.83225</v>
      </c>
      <c r="F170" s="26">
        <f>ROUND(8.83225,5)</f>
        <v>8.83225</v>
      </c>
      <c r="G170" s="24"/>
      <c r="H170" s="35"/>
    </row>
    <row r="171" spans="1:8" ht="12.75" customHeight="1">
      <c r="A171" s="22">
        <v>43503</v>
      </c>
      <c r="B171" s="22"/>
      <c r="C171" s="26">
        <f>ROUND(8.75,5)</f>
        <v>8.75</v>
      </c>
      <c r="D171" s="26">
        <f>F171</f>
        <v>8.87305</v>
      </c>
      <c r="E171" s="26">
        <f>F171</f>
        <v>8.87305</v>
      </c>
      <c r="F171" s="26">
        <f>ROUND(8.87305,5)</f>
        <v>8.87305</v>
      </c>
      <c r="G171" s="24"/>
      <c r="H171" s="35"/>
    </row>
    <row r="172" spans="1:8" ht="12.75" customHeight="1">
      <c r="A172" s="22">
        <v>43587</v>
      </c>
      <c r="B172" s="22"/>
      <c r="C172" s="26">
        <f>ROUND(8.75,5)</f>
        <v>8.75</v>
      </c>
      <c r="D172" s="26">
        <f>F172</f>
        <v>8.9033</v>
      </c>
      <c r="E172" s="26">
        <f>F172</f>
        <v>8.9033</v>
      </c>
      <c r="F172" s="26">
        <f>ROUND(8.9033,5)</f>
        <v>8.9033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ROUND(8.025,5)</f>
        <v>8.025</v>
      </c>
      <c r="D174" s="26">
        <f>F174</f>
        <v>8.03359</v>
      </c>
      <c r="E174" s="26">
        <f>F174</f>
        <v>8.03359</v>
      </c>
      <c r="F174" s="26">
        <f>ROUND(8.03359,5)</f>
        <v>8.03359</v>
      </c>
      <c r="G174" s="24"/>
      <c r="H174" s="35"/>
    </row>
    <row r="175" spans="1:8" ht="12.75" customHeight="1">
      <c r="A175" s="22">
        <v>43314</v>
      </c>
      <c r="B175" s="22"/>
      <c r="C175" s="26">
        <f>ROUND(8.025,5)</f>
        <v>8.025</v>
      </c>
      <c r="D175" s="26">
        <f>F175</f>
        <v>8.05744</v>
      </c>
      <c r="E175" s="26">
        <f>F175</f>
        <v>8.05744</v>
      </c>
      <c r="F175" s="26">
        <f>ROUND(8.05744,5)</f>
        <v>8.05744</v>
      </c>
      <c r="G175" s="24"/>
      <c r="H175" s="35"/>
    </row>
    <row r="176" spans="1:8" ht="12.75" customHeight="1">
      <c r="A176" s="22">
        <v>43405</v>
      </c>
      <c r="B176" s="22"/>
      <c r="C176" s="26">
        <f>ROUND(8.025,5)</f>
        <v>8.025</v>
      </c>
      <c r="D176" s="26">
        <f>F176</f>
        <v>8.07827</v>
      </c>
      <c r="E176" s="26">
        <f>F176</f>
        <v>8.07827</v>
      </c>
      <c r="F176" s="26">
        <f>ROUND(8.07827,5)</f>
        <v>8.07827</v>
      </c>
      <c r="G176" s="24"/>
      <c r="H176" s="35"/>
    </row>
    <row r="177" spans="1:8" ht="12.75" customHeight="1">
      <c r="A177" s="22">
        <v>43503</v>
      </c>
      <c r="B177" s="22"/>
      <c r="C177" s="26">
        <f>ROUND(8.025,5)</f>
        <v>8.025</v>
      </c>
      <c r="D177" s="26">
        <f>F177</f>
        <v>8.10092</v>
      </c>
      <c r="E177" s="26">
        <f>F177</f>
        <v>8.10092</v>
      </c>
      <c r="F177" s="26">
        <f>ROUND(8.10092,5)</f>
        <v>8.10092</v>
      </c>
      <c r="G177" s="24"/>
      <c r="H177" s="35"/>
    </row>
    <row r="178" spans="1:8" ht="12.75" customHeight="1">
      <c r="A178" s="22">
        <v>43587</v>
      </c>
      <c r="B178" s="22"/>
      <c r="C178" s="26">
        <f>ROUND(8.025,5)</f>
        <v>8.025</v>
      </c>
      <c r="D178" s="26">
        <f>F178</f>
        <v>8.11874</v>
      </c>
      <c r="E178" s="26">
        <f>F178</f>
        <v>8.11874</v>
      </c>
      <c r="F178" s="26">
        <f>ROUND(8.11874,5)</f>
        <v>8.11874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ROUND(1.89,5)</f>
        <v>1.89</v>
      </c>
      <c r="D180" s="26">
        <f>F180</f>
        <v>310.27016</v>
      </c>
      <c r="E180" s="26">
        <f>F180</f>
        <v>310.27016</v>
      </c>
      <c r="F180" s="26">
        <f>ROUND(310.27016,5)</f>
        <v>310.27016</v>
      </c>
      <c r="G180" s="24"/>
      <c r="H180" s="35"/>
    </row>
    <row r="181" spans="1:8" ht="12.75" customHeight="1">
      <c r="A181" s="22">
        <v>43314</v>
      </c>
      <c r="B181" s="22"/>
      <c r="C181" s="26">
        <f>ROUND(1.89,5)</f>
        <v>1.89</v>
      </c>
      <c r="D181" s="26">
        <f>F181</f>
        <v>308.82383</v>
      </c>
      <c r="E181" s="26">
        <f>F181</f>
        <v>308.82383</v>
      </c>
      <c r="F181" s="26">
        <f>ROUND(308.82383,5)</f>
        <v>308.82383</v>
      </c>
      <c r="G181" s="24"/>
      <c r="H181" s="35"/>
    </row>
    <row r="182" spans="1:8" ht="12.75" customHeight="1">
      <c r="A182" s="22">
        <v>43405</v>
      </c>
      <c r="B182" s="22"/>
      <c r="C182" s="26">
        <f>ROUND(1.89,5)</f>
        <v>1.89</v>
      </c>
      <c r="D182" s="26">
        <f>F182</f>
        <v>314.63223</v>
      </c>
      <c r="E182" s="26">
        <f>F182</f>
        <v>314.63223</v>
      </c>
      <c r="F182" s="26">
        <f>ROUND(314.63223,5)</f>
        <v>314.63223</v>
      </c>
      <c r="G182" s="24"/>
      <c r="H182" s="35"/>
    </row>
    <row r="183" spans="1:8" ht="12.75" customHeight="1">
      <c r="A183" s="22">
        <v>43503</v>
      </c>
      <c r="B183" s="22"/>
      <c r="C183" s="26">
        <f>ROUND(1.89,5)</f>
        <v>1.89</v>
      </c>
      <c r="D183" s="26">
        <f>F183</f>
        <v>313.79324</v>
      </c>
      <c r="E183" s="26">
        <f>F183</f>
        <v>313.79324</v>
      </c>
      <c r="F183" s="26">
        <f>ROUND(313.79324,5)</f>
        <v>313.79324</v>
      </c>
      <c r="G183" s="24"/>
      <c r="H183" s="35"/>
    </row>
    <row r="184" spans="1:8" ht="12.75" customHeight="1">
      <c r="A184" s="22">
        <v>43587</v>
      </c>
      <c r="B184" s="22"/>
      <c r="C184" s="26">
        <f>ROUND(1.89,5)</f>
        <v>1.89</v>
      </c>
      <c r="D184" s="26">
        <f>F184</f>
        <v>319.26289</v>
      </c>
      <c r="E184" s="26">
        <f>F184</f>
        <v>319.26289</v>
      </c>
      <c r="F184" s="26">
        <f>ROUND(319.26289,5)</f>
        <v>319.26289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ROUND(2.355,5)</f>
        <v>2.355</v>
      </c>
      <c r="D186" s="26">
        <f>F186</f>
        <v>250.33055</v>
      </c>
      <c r="E186" s="26">
        <f>F186</f>
        <v>250.33055</v>
      </c>
      <c r="F186" s="26">
        <f>ROUND(250.33055,5)</f>
        <v>250.33055</v>
      </c>
      <c r="G186" s="24"/>
      <c r="H186" s="35"/>
    </row>
    <row r="187" spans="1:8" ht="12.75" customHeight="1">
      <c r="A187" s="22">
        <v>43314</v>
      </c>
      <c r="B187" s="22"/>
      <c r="C187" s="26">
        <f>ROUND(2.355,5)</f>
        <v>2.355</v>
      </c>
      <c r="D187" s="26">
        <f>F187</f>
        <v>251.14755</v>
      </c>
      <c r="E187" s="26">
        <f>F187</f>
        <v>251.14755</v>
      </c>
      <c r="F187" s="26">
        <f>ROUND(251.14755,5)</f>
        <v>251.14755</v>
      </c>
      <c r="G187" s="24"/>
      <c r="H187" s="35"/>
    </row>
    <row r="188" spans="1:8" ht="12.75" customHeight="1">
      <c r="A188" s="22">
        <v>43405</v>
      </c>
      <c r="B188" s="22"/>
      <c r="C188" s="26">
        <f>ROUND(2.355,5)</f>
        <v>2.355</v>
      </c>
      <c r="D188" s="26">
        <f>F188</f>
        <v>255.8713</v>
      </c>
      <c r="E188" s="26">
        <f>F188</f>
        <v>255.8713</v>
      </c>
      <c r="F188" s="26">
        <f>ROUND(255.8713,5)</f>
        <v>255.8713</v>
      </c>
      <c r="G188" s="24"/>
      <c r="H188" s="35"/>
    </row>
    <row r="189" spans="1:8" ht="12.75" customHeight="1">
      <c r="A189" s="22">
        <v>43503</v>
      </c>
      <c r="B189" s="22"/>
      <c r="C189" s="26">
        <f>ROUND(2.355,5)</f>
        <v>2.355</v>
      </c>
      <c r="D189" s="26">
        <f>F189</f>
        <v>257.25362</v>
      </c>
      <c r="E189" s="26">
        <f>F189</f>
        <v>257.25362</v>
      </c>
      <c r="F189" s="26">
        <f>ROUND(257.25362,5)</f>
        <v>257.25362</v>
      </c>
      <c r="G189" s="24"/>
      <c r="H189" s="35"/>
    </row>
    <row r="190" spans="1:8" ht="12.75" customHeight="1">
      <c r="A190" s="22">
        <v>43587</v>
      </c>
      <c r="B190" s="22"/>
      <c r="C190" s="26">
        <f>ROUND(2.355,5)</f>
        <v>2.355</v>
      </c>
      <c r="D190" s="26">
        <f>F190</f>
        <v>261.73868</v>
      </c>
      <c r="E190" s="26">
        <f>F190</f>
        <v>261.73868</v>
      </c>
      <c r="F190" s="26">
        <f>ROUND(261.73868,5)</f>
        <v>261.73868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ROUND(6.75,5)</f>
        <v>6.75</v>
      </c>
      <c r="D194" s="26">
        <f>F194</f>
        <v>6.67089</v>
      </c>
      <c r="E194" s="26">
        <f>F194</f>
        <v>6.67089</v>
      </c>
      <c r="F194" s="26">
        <f>ROUND(6.67089,5)</f>
        <v>6.67089</v>
      </c>
      <c r="G194" s="24"/>
      <c r="H194" s="35"/>
    </row>
    <row r="195" spans="1:8" ht="12.75" customHeight="1">
      <c r="A195" s="22">
        <v>43314</v>
      </c>
      <c r="B195" s="22"/>
      <c r="C195" s="26">
        <f>ROUND(6.75,5)</f>
        <v>6.75</v>
      </c>
      <c r="D195" s="26">
        <f>F195</f>
        <v>6.07697</v>
      </c>
      <c r="E195" s="26">
        <f>F195</f>
        <v>6.07697</v>
      </c>
      <c r="F195" s="26">
        <f>ROUND(6.07697,5)</f>
        <v>6.07697</v>
      </c>
      <c r="G195" s="24"/>
      <c r="H195" s="35"/>
    </row>
    <row r="196" spans="1:8" ht="12.75" customHeight="1">
      <c r="A196" s="22">
        <v>43405</v>
      </c>
      <c r="B196" s="22"/>
      <c r="C196" s="26">
        <f>ROUND(6.75,5)</f>
        <v>6.75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ROUND(6.75,5)</f>
        <v>6.75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ROUND(6.75,5)</f>
        <v>6.75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ROUND(6.86,5)</f>
        <v>6.86</v>
      </c>
      <c r="D200" s="26">
        <f>F200</f>
        <v>6.83716</v>
      </c>
      <c r="E200" s="26">
        <f>F200</f>
        <v>6.83716</v>
      </c>
      <c r="F200" s="26">
        <f>ROUND(6.83716,5)</f>
        <v>6.83716</v>
      </c>
      <c r="G200" s="24"/>
      <c r="H200" s="35"/>
    </row>
    <row r="201" spans="1:8" ht="12.75" customHeight="1">
      <c r="A201" s="22">
        <v>43314</v>
      </c>
      <c r="B201" s="22"/>
      <c r="C201" s="26">
        <f>ROUND(6.86,5)</f>
        <v>6.86</v>
      </c>
      <c r="D201" s="26">
        <f>F201</f>
        <v>6.7235</v>
      </c>
      <c r="E201" s="26">
        <f>F201</f>
        <v>6.7235</v>
      </c>
      <c r="F201" s="26">
        <f>ROUND(6.7235,5)</f>
        <v>6.7235</v>
      </c>
      <c r="G201" s="24"/>
      <c r="H201" s="35"/>
    </row>
    <row r="202" spans="1:8" ht="12.75" customHeight="1">
      <c r="A202" s="22">
        <v>43405</v>
      </c>
      <c r="B202" s="22"/>
      <c r="C202" s="26">
        <f>ROUND(6.86,5)</f>
        <v>6.86</v>
      </c>
      <c r="D202" s="26">
        <f>F202</f>
        <v>6.52768</v>
      </c>
      <c r="E202" s="26">
        <f>F202</f>
        <v>6.52768</v>
      </c>
      <c r="F202" s="26">
        <f>ROUND(6.52768,5)</f>
        <v>6.52768</v>
      </c>
      <c r="G202" s="24"/>
      <c r="H202" s="35"/>
    </row>
    <row r="203" spans="1:8" ht="12.75" customHeight="1">
      <c r="A203" s="22">
        <v>43503</v>
      </c>
      <c r="B203" s="22"/>
      <c r="C203" s="26">
        <f>ROUND(6.86,5)</f>
        <v>6.86</v>
      </c>
      <c r="D203" s="26">
        <f>F203</f>
        <v>6.19022</v>
      </c>
      <c r="E203" s="26">
        <f>F203</f>
        <v>6.19022</v>
      </c>
      <c r="F203" s="26">
        <f>ROUND(6.19022,5)</f>
        <v>6.19022</v>
      </c>
      <c r="G203" s="24"/>
      <c r="H203" s="35"/>
    </row>
    <row r="204" spans="1:8" ht="12.75" customHeight="1">
      <c r="A204" s="22">
        <v>43587</v>
      </c>
      <c r="B204" s="22"/>
      <c r="C204" s="26">
        <f>ROUND(6.86,5)</f>
        <v>6.86</v>
      </c>
      <c r="D204" s="26">
        <f>F204</f>
        <v>5.69202</v>
      </c>
      <c r="E204" s="26">
        <f>F204</f>
        <v>5.69202</v>
      </c>
      <c r="F204" s="26">
        <f>ROUND(5.69202,5)</f>
        <v>5.69202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ROUND(7.09,5)</f>
        <v>7.09</v>
      </c>
      <c r="D206" s="26">
        <f>F206</f>
        <v>7.08077</v>
      </c>
      <c r="E206" s="26">
        <f>F206</f>
        <v>7.08077</v>
      </c>
      <c r="F206" s="26">
        <f>ROUND(7.08077,5)</f>
        <v>7.08077</v>
      </c>
      <c r="G206" s="24"/>
      <c r="H206" s="35"/>
    </row>
    <row r="207" spans="1:8" ht="12.75" customHeight="1">
      <c r="A207" s="22">
        <v>43314</v>
      </c>
      <c r="B207" s="22"/>
      <c r="C207" s="26">
        <f>ROUND(7.09,5)</f>
        <v>7.09</v>
      </c>
      <c r="D207" s="26">
        <f>F207</f>
        <v>7.03715</v>
      </c>
      <c r="E207" s="26">
        <f>F207</f>
        <v>7.03715</v>
      </c>
      <c r="F207" s="26">
        <f>ROUND(7.03715,5)</f>
        <v>7.03715</v>
      </c>
      <c r="G207" s="24"/>
      <c r="H207" s="35"/>
    </row>
    <row r="208" spans="1:8" ht="12.75" customHeight="1">
      <c r="A208" s="22">
        <v>43405</v>
      </c>
      <c r="B208" s="22"/>
      <c r="C208" s="26">
        <f>ROUND(7.09,5)</f>
        <v>7.09</v>
      </c>
      <c r="D208" s="26">
        <f>F208</f>
        <v>6.97695</v>
      </c>
      <c r="E208" s="26">
        <f>F208</f>
        <v>6.97695</v>
      </c>
      <c r="F208" s="26">
        <f>ROUND(6.97695,5)</f>
        <v>6.97695</v>
      </c>
      <c r="G208" s="24"/>
      <c r="H208" s="35"/>
    </row>
    <row r="209" spans="1:8" ht="12.75" customHeight="1">
      <c r="A209" s="22">
        <v>43503</v>
      </c>
      <c r="B209" s="22"/>
      <c r="C209" s="26">
        <f>ROUND(7.09,5)</f>
        <v>7.09</v>
      </c>
      <c r="D209" s="26">
        <f>F209</f>
        <v>6.89249</v>
      </c>
      <c r="E209" s="26">
        <f>F209</f>
        <v>6.89249</v>
      </c>
      <c r="F209" s="26">
        <f>ROUND(6.89249,5)</f>
        <v>6.89249</v>
      </c>
      <c r="G209" s="24"/>
      <c r="H209" s="35"/>
    </row>
    <row r="210" spans="1:8" ht="12.75" customHeight="1">
      <c r="A210" s="22">
        <v>43587</v>
      </c>
      <c r="B210" s="22"/>
      <c r="C210" s="26">
        <f>ROUND(7.09,5)</f>
        <v>7.09</v>
      </c>
      <c r="D210" s="26">
        <f>F210</f>
        <v>6.78706</v>
      </c>
      <c r="E210" s="26">
        <f>F210</f>
        <v>6.78706</v>
      </c>
      <c r="F210" s="26">
        <f>ROUND(6.78706,5)</f>
        <v>6.78706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ROUND(8.78,5)</f>
        <v>8.78</v>
      </c>
      <c r="D212" s="26">
        <f>F212</f>
        <v>8.79057</v>
      </c>
      <c r="E212" s="26">
        <f>F212</f>
        <v>8.79057</v>
      </c>
      <c r="F212" s="26">
        <f>ROUND(8.79057,5)</f>
        <v>8.79057</v>
      </c>
      <c r="G212" s="24"/>
      <c r="H212" s="35"/>
    </row>
    <row r="213" spans="1:8" ht="12.75" customHeight="1">
      <c r="A213" s="22">
        <v>43314</v>
      </c>
      <c r="B213" s="22"/>
      <c r="C213" s="26">
        <f>ROUND(8.78,5)</f>
        <v>8.78</v>
      </c>
      <c r="D213" s="26">
        <f>F213</f>
        <v>8.82371</v>
      </c>
      <c r="E213" s="26">
        <f>F213</f>
        <v>8.82371</v>
      </c>
      <c r="F213" s="26">
        <f>ROUND(8.82371,5)</f>
        <v>8.82371</v>
      </c>
      <c r="G213" s="24"/>
      <c r="H213" s="35"/>
    </row>
    <row r="214" spans="1:8" ht="12.75" customHeight="1">
      <c r="A214" s="22">
        <v>43405</v>
      </c>
      <c r="B214" s="22"/>
      <c r="C214" s="26">
        <f>ROUND(8.78,5)</f>
        <v>8.78</v>
      </c>
      <c r="D214" s="26">
        <f>F214</f>
        <v>8.85649</v>
      </c>
      <c r="E214" s="26">
        <f>F214</f>
        <v>8.85649</v>
      </c>
      <c r="F214" s="26">
        <f>ROUND(8.85649,5)</f>
        <v>8.85649</v>
      </c>
      <c r="G214" s="24"/>
      <c r="H214" s="35"/>
    </row>
    <row r="215" spans="1:8" ht="12.75" customHeight="1">
      <c r="A215" s="22">
        <v>43503</v>
      </c>
      <c r="B215" s="22"/>
      <c r="C215" s="26">
        <f>ROUND(8.78,5)</f>
        <v>8.78</v>
      </c>
      <c r="D215" s="26">
        <f>F215</f>
        <v>8.89225</v>
      </c>
      <c r="E215" s="26">
        <f>F215</f>
        <v>8.89225</v>
      </c>
      <c r="F215" s="26">
        <f>ROUND(8.89225,5)</f>
        <v>8.89225</v>
      </c>
      <c r="G215" s="24"/>
      <c r="H215" s="35"/>
    </row>
    <row r="216" spans="1:8" ht="12.75" customHeight="1">
      <c r="A216" s="22">
        <v>43587</v>
      </c>
      <c r="B216" s="22"/>
      <c r="C216" s="26">
        <f>ROUND(8.78,5)</f>
        <v>8.78</v>
      </c>
      <c r="D216" s="26">
        <f>F216</f>
        <v>8.92131</v>
      </c>
      <c r="E216" s="26">
        <f>F216</f>
        <v>8.92131</v>
      </c>
      <c r="F216" s="26">
        <f>ROUND(8.92131,5)</f>
        <v>8.92131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ROUND(2.25,5)</f>
        <v>2.25</v>
      </c>
      <c r="D218" s="26">
        <f>F218</f>
        <v>192.53202</v>
      </c>
      <c r="E218" s="26">
        <f>F218</f>
        <v>192.53202</v>
      </c>
      <c r="F218" s="26">
        <f>ROUND(192.53202,5)</f>
        <v>192.53202</v>
      </c>
      <c r="G218" s="24"/>
      <c r="H218" s="35"/>
    </row>
    <row r="219" spans="1:8" ht="12.75" customHeight="1">
      <c r="A219" s="22">
        <v>43314</v>
      </c>
      <c r="B219" s="22"/>
      <c r="C219" s="26">
        <f>ROUND(2.25,5)</f>
        <v>2.25</v>
      </c>
      <c r="D219" s="26">
        <f>F219</f>
        <v>196.10039</v>
      </c>
      <c r="E219" s="26">
        <f>F219</f>
        <v>196.10039</v>
      </c>
      <c r="F219" s="26">
        <f>ROUND(196.10039,5)</f>
        <v>196.10039</v>
      </c>
      <c r="G219" s="24"/>
      <c r="H219" s="35"/>
    </row>
    <row r="220" spans="1:8" ht="12.75" customHeight="1">
      <c r="A220" s="22">
        <v>43405</v>
      </c>
      <c r="B220" s="22"/>
      <c r="C220" s="26">
        <f>ROUND(2.25,5)</f>
        <v>2.25</v>
      </c>
      <c r="D220" s="26">
        <f>F220</f>
        <v>197.296</v>
      </c>
      <c r="E220" s="26">
        <f>F220</f>
        <v>197.296</v>
      </c>
      <c r="F220" s="26">
        <f>ROUND(197.296,5)</f>
        <v>197.296</v>
      </c>
      <c r="G220" s="24"/>
      <c r="H220" s="35"/>
    </row>
    <row r="221" spans="1:8" ht="12.75" customHeight="1">
      <c r="A221" s="22">
        <v>43503</v>
      </c>
      <c r="B221" s="22"/>
      <c r="C221" s="26">
        <f>ROUND(2.25,5)</f>
        <v>2.25</v>
      </c>
      <c r="D221" s="26">
        <f>F221</f>
        <v>201.35933</v>
      </c>
      <c r="E221" s="26">
        <f>F221</f>
        <v>201.35933</v>
      </c>
      <c r="F221" s="26">
        <f>ROUND(201.35933,5)</f>
        <v>201.35933</v>
      </c>
      <c r="G221" s="24"/>
      <c r="H221" s="35"/>
    </row>
    <row r="222" spans="1:8" ht="12.75" customHeight="1">
      <c r="A222" s="22">
        <v>43587</v>
      </c>
      <c r="B222" s="22"/>
      <c r="C222" s="26">
        <f>ROUND(2.25,5)</f>
        <v>2.25</v>
      </c>
      <c r="D222" s="26">
        <f>F222</f>
        <v>204.87062</v>
      </c>
      <c r="E222" s="26">
        <f>F222</f>
        <v>204.87062</v>
      </c>
      <c r="F222" s="26">
        <f>ROUND(204.87062,5)</f>
        <v>204.87062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ROUND(1.84,5)</f>
        <v>1.84</v>
      </c>
      <c r="D224" s="26">
        <f>F224</f>
        <v>156.31174</v>
      </c>
      <c r="E224" s="26">
        <f>F224</f>
        <v>156.31174</v>
      </c>
      <c r="F224" s="26">
        <f>ROUND(156.31174,5)</f>
        <v>156.31174</v>
      </c>
      <c r="G224" s="24"/>
      <c r="H224" s="35"/>
    </row>
    <row r="225" spans="1:8" ht="12.75" customHeight="1">
      <c r="A225" s="22">
        <v>43314</v>
      </c>
      <c r="B225" s="22"/>
      <c r="C225" s="26">
        <f>ROUND(1.84,5)</f>
        <v>1.84</v>
      </c>
      <c r="D225" s="26">
        <f>F225</f>
        <v>157.1056</v>
      </c>
      <c r="E225" s="26">
        <f>F225</f>
        <v>157.1056</v>
      </c>
      <c r="F225" s="26">
        <f>ROUND(157.1056,5)</f>
        <v>157.1056</v>
      </c>
      <c r="G225" s="24"/>
      <c r="H225" s="35"/>
    </row>
    <row r="226" spans="1:8" ht="12.75" customHeight="1">
      <c r="A226" s="22">
        <v>43405</v>
      </c>
      <c r="B226" s="22"/>
      <c r="C226" s="26">
        <f>ROUND(1.84,5)</f>
        <v>1.84</v>
      </c>
      <c r="D226" s="26">
        <f>F226</f>
        <v>160.06043</v>
      </c>
      <c r="E226" s="26">
        <f>F226</f>
        <v>160.06043</v>
      </c>
      <c r="F226" s="26">
        <f>ROUND(160.06043,5)</f>
        <v>160.06043</v>
      </c>
      <c r="G226" s="24"/>
      <c r="H226" s="35"/>
    </row>
    <row r="227" spans="1:8" ht="12.75" customHeight="1">
      <c r="A227" s="22">
        <v>43503</v>
      </c>
      <c r="B227" s="22"/>
      <c r="C227" s="26">
        <f>ROUND(1.84,5)</f>
        <v>1.84</v>
      </c>
      <c r="D227" s="26">
        <f>F227</f>
        <v>161.21651</v>
      </c>
      <c r="E227" s="26">
        <f>F227</f>
        <v>161.21651</v>
      </c>
      <c r="F227" s="26">
        <f>ROUND(161.21651,5)</f>
        <v>161.21651</v>
      </c>
      <c r="G227" s="24"/>
      <c r="H227" s="35"/>
    </row>
    <row r="228" spans="1:8" ht="12.75" customHeight="1">
      <c r="A228" s="22">
        <v>43587</v>
      </c>
      <c r="B228" s="22"/>
      <c r="C228" s="26">
        <f>ROUND(1.84,5)</f>
        <v>1.84</v>
      </c>
      <c r="D228" s="26">
        <f>F228</f>
        <v>164.02699</v>
      </c>
      <c r="E228" s="26">
        <f>F228</f>
        <v>164.02699</v>
      </c>
      <c r="F228" s="26">
        <f>ROUND(164.02699,5)</f>
        <v>164.02699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ROUND(8.49,5)</f>
        <v>8.49</v>
      </c>
      <c r="D230" s="26">
        <f>F230</f>
        <v>8.49959</v>
      </c>
      <c r="E230" s="26">
        <f>F230</f>
        <v>8.49959</v>
      </c>
      <c r="F230" s="26">
        <f>ROUND(8.49959,5)</f>
        <v>8.49959</v>
      </c>
      <c r="G230" s="24"/>
      <c r="H230" s="35"/>
    </row>
    <row r="231" spans="1:8" ht="12.75" customHeight="1">
      <c r="A231" s="22">
        <v>43314</v>
      </c>
      <c r="B231" s="22"/>
      <c r="C231" s="26">
        <f>ROUND(8.49,5)</f>
        <v>8.49</v>
      </c>
      <c r="D231" s="26">
        <f>F231</f>
        <v>8.52912</v>
      </c>
      <c r="E231" s="26">
        <f>F231</f>
        <v>8.52912</v>
      </c>
      <c r="F231" s="26">
        <f>ROUND(8.52912,5)</f>
        <v>8.52912</v>
      </c>
      <c r="G231" s="24"/>
      <c r="H231" s="35"/>
    </row>
    <row r="232" spans="1:8" ht="12.75" customHeight="1">
      <c r="A232" s="22">
        <v>43405</v>
      </c>
      <c r="B232" s="22"/>
      <c r="C232" s="26">
        <f>ROUND(8.49,5)</f>
        <v>8.49</v>
      </c>
      <c r="D232" s="26">
        <f>F232</f>
        <v>8.56041</v>
      </c>
      <c r="E232" s="26">
        <f>F232</f>
        <v>8.56041</v>
      </c>
      <c r="F232" s="26">
        <f>ROUND(8.56041,5)</f>
        <v>8.56041</v>
      </c>
      <c r="G232" s="24"/>
      <c r="H232" s="35"/>
    </row>
    <row r="233" spans="1:8" ht="12.75" customHeight="1">
      <c r="A233" s="22">
        <v>43503</v>
      </c>
      <c r="B233" s="22"/>
      <c r="C233" s="26">
        <f>ROUND(8.49,5)</f>
        <v>8.49</v>
      </c>
      <c r="D233" s="26">
        <f>F233</f>
        <v>8.59551</v>
      </c>
      <c r="E233" s="26">
        <f>F233</f>
        <v>8.59551</v>
      </c>
      <c r="F233" s="26">
        <f>ROUND(8.59551,5)</f>
        <v>8.59551</v>
      </c>
      <c r="G233" s="24"/>
      <c r="H233" s="35"/>
    </row>
    <row r="234" spans="1:8" ht="12.75" customHeight="1">
      <c r="A234" s="22">
        <v>43587</v>
      </c>
      <c r="B234" s="22"/>
      <c r="C234" s="26">
        <f>ROUND(8.49,5)</f>
        <v>8.49</v>
      </c>
      <c r="D234" s="26">
        <f>F234</f>
        <v>8.62056</v>
      </c>
      <c r="E234" s="26">
        <f>F234</f>
        <v>8.62056</v>
      </c>
      <c r="F234" s="26">
        <f>ROUND(8.62056,5)</f>
        <v>8.62056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ROUND(8.895,5)</f>
        <v>8.895</v>
      </c>
      <c r="D236" s="26">
        <f>F236</f>
        <v>8.90542</v>
      </c>
      <c r="E236" s="26">
        <f>F236</f>
        <v>8.90542</v>
      </c>
      <c r="F236" s="26">
        <f>ROUND(8.90542,5)</f>
        <v>8.90542</v>
      </c>
      <c r="G236" s="24"/>
      <c r="H236" s="35"/>
    </row>
    <row r="237" spans="1:8" ht="12.75" customHeight="1">
      <c r="A237" s="22">
        <v>43314</v>
      </c>
      <c r="B237" s="22"/>
      <c r="C237" s="26">
        <f>ROUND(8.895,5)</f>
        <v>8.895</v>
      </c>
      <c r="D237" s="26">
        <f>F237</f>
        <v>8.93811</v>
      </c>
      <c r="E237" s="26">
        <f>F237</f>
        <v>8.93811</v>
      </c>
      <c r="F237" s="26">
        <f>ROUND(8.93811,5)</f>
        <v>8.93811</v>
      </c>
      <c r="G237" s="24"/>
      <c r="H237" s="35"/>
    </row>
    <row r="238" spans="1:8" ht="12.75" customHeight="1">
      <c r="A238" s="22">
        <v>43405</v>
      </c>
      <c r="B238" s="22"/>
      <c r="C238" s="26">
        <f>ROUND(8.895,5)</f>
        <v>8.895</v>
      </c>
      <c r="D238" s="26">
        <f>F238</f>
        <v>8.97213</v>
      </c>
      <c r="E238" s="26">
        <f>F238</f>
        <v>8.97213</v>
      </c>
      <c r="F238" s="26">
        <f>ROUND(8.97213,5)</f>
        <v>8.97213</v>
      </c>
      <c r="G238" s="24"/>
      <c r="H238" s="35"/>
    </row>
    <row r="239" spans="1:8" ht="12.75" customHeight="1">
      <c r="A239" s="22">
        <v>43503</v>
      </c>
      <c r="B239" s="22"/>
      <c r="C239" s="26">
        <f>ROUND(8.895,5)</f>
        <v>8.895</v>
      </c>
      <c r="D239" s="26">
        <f>F239</f>
        <v>9.00996</v>
      </c>
      <c r="E239" s="26">
        <f>F239</f>
        <v>9.00996</v>
      </c>
      <c r="F239" s="26">
        <f>ROUND(9.00996,5)</f>
        <v>9.00996</v>
      </c>
      <c r="G239" s="24"/>
      <c r="H239" s="35"/>
    </row>
    <row r="240" spans="1:8" ht="12.75" customHeight="1">
      <c r="A240" s="22">
        <v>43587</v>
      </c>
      <c r="B240" s="22"/>
      <c r="C240" s="26">
        <f>ROUND(8.895,5)</f>
        <v>8.895</v>
      </c>
      <c r="D240" s="26">
        <f>F240</f>
        <v>9.03822</v>
      </c>
      <c r="E240" s="26">
        <f>F240</f>
        <v>9.03822</v>
      </c>
      <c r="F240" s="26">
        <f>ROUND(9.03822,5)</f>
        <v>9.03822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ROUND(8.92,5)</f>
        <v>8.92</v>
      </c>
      <c r="D242" s="26">
        <f>F242</f>
        <v>8.93048</v>
      </c>
      <c r="E242" s="26">
        <f>F242</f>
        <v>8.93048</v>
      </c>
      <c r="F242" s="26">
        <f>ROUND(8.93048,5)</f>
        <v>8.93048</v>
      </c>
      <c r="G242" s="24"/>
      <c r="H242" s="35"/>
    </row>
    <row r="243" spans="1:8" ht="12.75" customHeight="1">
      <c r="A243" s="22">
        <v>43314</v>
      </c>
      <c r="B243" s="22"/>
      <c r="C243" s="26">
        <f>ROUND(8.92,5)</f>
        <v>8.92</v>
      </c>
      <c r="D243" s="26">
        <f>F243</f>
        <v>8.96342</v>
      </c>
      <c r="E243" s="26">
        <f>F243</f>
        <v>8.96342</v>
      </c>
      <c r="F243" s="26">
        <f>ROUND(8.96342,5)</f>
        <v>8.96342</v>
      </c>
      <c r="G243" s="24"/>
      <c r="H243" s="35"/>
    </row>
    <row r="244" spans="1:8" ht="12.75" customHeight="1">
      <c r="A244" s="22">
        <v>43405</v>
      </c>
      <c r="B244" s="22"/>
      <c r="C244" s="26">
        <f>ROUND(8.92,5)</f>
        <v>8.92</v>
      </c>
      <c r="D244" s="26">
        <f>F244</f>
        <v>8.99763</v>
      </c>
      <c r="E244" s="26">
        <f>F244</f>
        <v>8.99763</v>
      </c>
      <c r="F244" s="26">
        <f>ROUND(8.99763,5)</f>
        <v>8.99763</v>
      </c>
      <c r="G244" s="24"/>
      <c r="H244" s="35"/>
    </row>
    <row r="245" spans="1:8" ht="12.75" customHeight="1">
      <c r="A245" s="22">
        <v>43503</v>
      </c>
      <c r="B245" s="22"/>
      <c r="C245" s="26">
        <f>ROUND(8.92,5)</f>
        <v>8.92</v>
      </c>
      <c r="D245" s="26">
        <f>F245</f>
        <v>9.03566</v>
      </c>
      <c r="E245" s="26">
        <f>F245</f>
        <v>9.03566</v>
      </c>
      <c r="F245" s="26">
        <f>ROUND(9.03566,5)</f>
        <v>9.03566</v>
      </c>
      <c r="G245" s="24"/>
      <c r="H245" s="35"/>
    </row>
    <row r="246" spans="1:8" ht="12.75" customHeight="1">
      <c r="A246" s="22">
        <v>43587</v>
      </c>
      <c r="B246" s="22"/>
      <c r="C246" s="26">
        <f>ROUND(8.92,5)</f>
        <v>8.92</v>
      </c>
      <c r="D246" s="26">
        <f>F246</f>
        <v>9.0641</v>
      </c>
      <c r="E246" s="26">
        <f>F246</f>
        <v>9.0641</v>
      </c>
      <c r="F246" s="26">
        <f>ROUND(9.0641,5)</f>
        <v>9.0641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43201</v>
      </c>
      <c r="B248" s="22"/>
      <c r="C248" s="25">
        <f>ROUND(14.6482431316667,4)</f>
        <v>14.6482</v>
      </c>
      <c r="D248" s="25">
        <f>F248</f>
        <v>14.6545</v>
      </c>
      <c r="E248" s="25">
        <f>F248</f>
        <v>14.6545</v>
      </c>
      <c r="F248" s="25">
        <f>ROUND(14.6545,4)</f>
        <v>14.6545</v>
      </c>
      <c r="G248" s="24"/>
      <c r="H248" s="35"/>
    </row>
    <row r="249" spans="1:8" ht="12.75" customHeight="1">
      <c r="A249" s="22">
        <v>43220</v>
      </c>
      <c r="B249" s="22"/>
      <c r="C249" s="25">
        <f>ROUND(14.6482431316667,4)</f>
        <v>14.6482</v>
      </c>
      <c r="D249" s="25">
        <f>F249</f>
        <v>14.7134</v>
      </c>
      <c r="E249" s="25">
        <f>F249</f>
        <v>14.7134</v>
      </c>
      <c r="F249" s="25">
        <f>ROUND(14.7134,4)</f>
        <v>14.7134</v>
      </c>
      <c r="G249" s="24"/>
      <c r="H249" s="35"/>
    </row>
    <row r="250" spans="1:8" ht="12.75" customHeight="1">
      <c r="A250" s="22">
        <v>43243</v>
      </c>
      <c r="B250" s="22"/>
      <c r="C250" s="25">
        <f>ROUND(14.6482431316667,4)</f>
        <v>14.6482</v>
      </c>
      <c r="D250" s="25">
        <f>F250</f>
        <v>14.7847</v>
      </c>
      <c r="E250" s="25">
        <f>F250</f>
        <v>14.7847</v>
      </c>
      <c r="F250" s="25">
        <f>ROUND(14.7847,4)</f>
        <v>14.7847</v>
      </c>
      <c r="G250" s="24"/>
      <c r="H250" s="35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43220</v>
      </c>
      <c r="B252" s="22"/>
      <c r="C252" s="25">
        <f>ROUND(16.76999130625,4)</f>
        <v>16.77</v>
      </c>
      <c r="D252" s="25">
        <f>F252</f>
        <v>16.8353</v>
      </c>
      <c r="E252" s="25">
        <f>F252</f>
        <v>16.8353</v>
      </c>
      <c r="F252" s="25">
        <f>ROUND(16.8353,4)</f>
        <v>16.8353</v>
      </c>
      <c r="G252" s="24"/>
      <c r="H252" s="35"/>
    </row>
    <row r="253" spans="1:8" ht="12.75" customHeight="1">
      <c r="A253" s="22">
        <v>43235</v>
      </c>
      <c r="B253" s="22"/>
      <c r="C253" s="25">
        <f>ROUND(16.76999130625,4)</f>
        <v>16.77</v>
      </c>
      <c r="D253" s="25">
        <f>F253</f>
        <v>16.881</v>
      </c>
      <c r="E253" s="25">
        <f>F253</f>
        <v>16.881</v>
      </c>
      <c r="F253" s="25">
        <f>ROUND(16.881,4)</f>
        <v>16.881</v>
      </c>
      <c r="G253" s="24"/>
      <c r="H253" s="35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5"/>
    </row>
    <row r="255" spans="1:8" ht="12.75" customHeight="1">
      <c r="A255" s="22">
        <v>43223</v>
      </c>
      <c r="B255" s="22"/>
      <c r="C255" s="28">
        <f>ROUND(0.111464594770634,6)</f>
        <v>0.111465</v>
      </c>
      <c r="D255" s="28">
        <f>F255</f>
        <v>0.112009</v>
      </c>
      <c r="E255" s="28">
        <f>F255</f>
        <v>0.112009</v>
      </c>
      <c r="F255" s="28">
        <f>ROUND(0.112009,6)</f>
        <v>0.112009</v>
      </c>
      <c r="G255" s="24"/>
      <c r="H255" s="35"/>
    </row>
    <row r="256" spans="1:8" ht="12.75" customHeight="1">
      <c r="A256" s="22">
        <v>43280</v>
      </c>
      <c r="B256" s="22"/>
      <c r="C256" s="28">
        <f>ROUND(0.111464594770634,6)</f>
        <v>0.111465</v>
      </c>
      <c r="D256" s="28">
        <f>F256</f>
        <v>0.113302</v>
      </c>
      <c r="E256" s="28">
        <f>F256</f>
        <v>0.113302</v>
      </c>
      <c r="F256" s="28">
        <f>ROUND(0.113302,6)</f>
        <v>0.113302</v>
      </c>
      <c r="G256" s="24"/>
      <c r="H256" s="35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43196</v>
      </c>
      <c r="B258" s="22"/>
      <c r="C258" s="25">
        <f>ROUND(11.9791,4)</f>
        <v>11.9791</v>
      </c>
      <c r="D258" s="25">
        <f>F258</f>
        <v>11.9842</v>
      </c>
      <c r="E258" s="25">
        <f>F258</f>
        <v>11.9842</v>
      </c>
      <c r="F258" s="25">
        <f>ROUND(11.9842,4)</f>
        <v>11.9842</v>
      </c>
      <c r="G258" s="24"/>
      <c r="H258" s="35"/>
    </row>
    <row r="259" spans="1:8" ht="12.75" customHeight="1">
      <c r="A259" s="22">
        <v>43200</v>
      </c>
      <c r="B259" s="22"/>
      <c r="C259" s="25">
        <f>ROUND(11.9791,4)</f>
        <v>11.9791</v>
      </c>
      <c r="D259" s="25">
        <f>F259</f>
        <v>11.9808</v>
      </c>
      <c r="E259" s="25">
        <f>F259</f>
        <v>11.9808</v>
      </c>
      <c r="F259" s="25">
        <f>ROUND(11.9808,4)</f>
        <v>11.9808</v>
      </c>
      <c r="G259" s="24"/>
      <c r="H259" s="35"/>
    </row>
    <row r="260" spans="1:8" ht="12.75" customHeight="1">
      <c r="A260" s="22">
        <v>43206</v>
      </c>
      <c r="B260" s="22"/>
      <c r="C260" s="25">
        <f>ROUND(11.9791,4)</f>
        <v>11.9791</v>
      </c>
      <c r="D260" s="25">
        <f>F260</f>
        <v>11.9909</v>
      </c>
      <c r="E260" s="25">
        <f>F260</f>
        <v>11.9909</v>
      </c>
      <c r="F260" s="25">
        <f>ROUND(11.9909,4)</f>
        <v>11.9909</v>
      </c>
      <c r="G260" s="24"/>
      <c r="H260" s="35"/>
    </row>
    <row r="261" spans="1:8" ht="12.75" customHeight="1">
      <c r="A261" s="22">
        <v>43207</v>
      </c>
      <c r="B261" s="22"/>
      <c r="C261" s="25">
        <f>ROUND(11.9791,4)</f>
        <v>11.9791</v>
      </c>
      <c r="D261" s="25">
        <f>F261</f>
        <v>11.9925</v>
      </c>
      <c r="E261" s="25">
        <f>F261</f>
        <v>11.9925</v>
      </c>
      <c r="F261" s="25">
        <f>ROUND(11.9925,4)</f>
        <v>11.9925</v>
      </c>
      <c r="G261" s="24"/>
      <c r="H261" s="35"/>
    </row>
    <row r="262" spans="1:8" ht="12.75" customHeight="1">
      <c r="A262" s="22">
        <v>43214</v>
      </c>
      <c r="B262" s="22"/>
      <c r="C262" s="25">
        <f>ROUND(11.9791,4)</f>
        <v>11.9791</v>
      </c>
      <c r="D262" s="25">
        <f>F262</f>
        <v>12.0043</v>
      </c>
      <c r="E262" s="25">
        <f>F262</f>
        <v>12.0043</v>
      </c>
      <c r="F262" s="25">
        <f>ROUND(12.0043,4)</f>
        <v>12.0043</v>
      </c>
      <c r="G262" s="24"/>
      <c r="H262" s="35"/>
    </row>
    <row r="263" spans="1:8" ht="12.75" customHeight="1">
      <c r="A263" s="22">
        <v>43215</v>
      </c>
      <c r="B263" s="22"/>
      <c r="C263" s="25">
        <f>ROUND(11.9791,4)</f>
        <v>11.9791</v>
      </c>
      <c r="D263" s="25">
        <f>F263</f>
        <v>12.006</v>
      </c>
      <c r="E263" s="25">
        <f>F263</f>
        <v>12.006</v>
      </c>
      <c r="F263" s="25">
        <f>ROUND(12.006,4)</f>
        <v>12.006</v>
      </c>
      <c r="G263" s="24"/>
      <c r="H263" s="35"/>
    </row>
    <row r="264" spans="1:8" ht="12.75" customHeight="1">
      <c r="A264" s="22">
        <v>43216</v>
      </c>
      <c r="B264" s="22"/>
      <c r="C264" s="25">
        <f>ROUND(11.9791,4)</f>
        <v>11.9791</v>
      </c>
      <c r="D264" s="25">
        <f>F264</f>
        <v>12.0077</v>
      </c>
      <c r="E264" s="25">
        <f>F264</f>
        <v>12.0077</v>
      </c>
      <c r="F264" s="25">
        <f>ROUND(12.0077,4)</f>
        <v>12.0077</v>
      </c>
      <c r="G264" s="24"/>
      <c r="H264" s="35"/>
    </row>
    <row r="265" spans="1:8" ht="12.75" customHeight="1">
      <c r="A265" s="22">
        <v>43220</v>
      </c>
      <c r="B265" s="22"/>
      <c r="C265" s="25">
        <f>ROUND(11.9791,4)</f>
        <v>11.9791</v>
      </c>
      <c r="D265" s="25">
        <f>F265</f>
        <v>12.0144</v>
      </c>
      <c r="E265" s="25">
        <f>F265</f>
        <v>12.0144</v>
      </c>
      <c r="F265" s="25">
        <f>ROUND(12.0144,4)</f>
        <v>12.0144</v>
      </c>
      <c r="G265" s="24"/>
      <c r="H265" s="35"/>
    </row>
    <row r="266" spans="1:8" ht="12.75" customHeight="1">
      <c r="A266" s="22">
        <v>43222</v>
      </c>
      <c r="B266" s="22"/>
      <c r="C266" s="25">
        <f>ROUND(11.9791,4)</f>
        <v>11.9791</v>
      </c>
      <c r="D266" s="25">
        <f>F266</f>
        <v>12.0178</v>
      </c>
      <c r="E266" s="25">
        <f>F266</f>
        <v>12.0178</v>
      </c>
      <c r="F266" s="25">
        <f>ROUND(12.0178,4)</f>
        <v>12.0178</v>
      </c>
      <c r="G266" s="24"/>
      <c r="H266" s="35"/>
    </row>
    <row r="267" spans="1:8" ht="12.75" customHeight="1">
      <c r="A267" s="22">
        <v>43227</v>
      </c>
      <c r="B267" s="22"/>
      <c r="C267" s="25">
        <f>ROUND(11.9791,4)</f>
        <v>11.9791</v>
      </c>
      <c r="D267" s="25">
        <f>F267</f>
        <v>12.0262</v>
      </c>
      <c r="E267" s="25">
        <f>F267</f>
        <v>12.0262</v>
      </c>
      <c r="F267" s="25">
        <f>ROUND(12.0262,4)</f>
        <v>12.0262</v>
      </c>
      <c r="G267" s="24"/>
      <c r="H267" s="35"/>
    </row>
    <row r="268" spans="1:8" ht="12.75" customHeight="1">
      <c r="A268" s="22">
        <v>43229</v>
      </c>
      <c r="B268" s="22"/>
      <c r="C268" s="25">
        <f>ROUND(11.9791,4)</f>
        <v>11.9791</v>
      </c>
      <c r="D268" s="25">
        <f>F268</f>
        <v>12.0295</v>
      </c>
      <c r="E268" s="25">
        <f>F268</f>
        <v>12.0295</v>
      </c>
      <c r="F268" s="25">
        <f>ROUND(12.0295,4)</f>
        <v>12.0295</v>
      </c>
      <c r="G268" s="24"/>
      <c r="H268" s="35"/>
    </row>
    <row r="269" spans="1:8" ht="12.75" customHeight="1">
      <c r="A269" s="22">
        <v>43231</v>
      </c>
      <c r="B269" s="22"/>
      <c r="C269" s="25">
        <f>ROUND(11.9791,4)</f>
        <v>11.9791</v>
      </c>
      <c r="D269" s="25">
        <f>F269</f>
        <v>12.0328</v>
      </c>
      <c r="E269" s="25">
        <f>F269</f>
        <v>12.0328</v>
      </c>
      <c r="F269" s="25">
        <f>ROUND(12.0328,4)</f>
        <v>12.0328</v>
      </c>
      <c r="G269" s="24"/>
      <c r="H269" s="35"/>
    </row>
    <row r="270" spans="1:8" ht="12.75" customHeight="1">
      <c r="A270" s="22">
        <v>43234</v>
      </c>
      <c r="B270" s="22"/>
      <c r="C270" s="25">
        <f>ROUND(11.9791,4)</f>
        <v>11.9791</v>
      </c>
      <c r="D270" s="25">
        <f>F270</f>
        <v>12.0377</v>
      </c>
      <c r="E270" s="25">
        <f>F270</f>
        <v>12.0377</v>
      </c>
      <c r="F270" s="25">
        <f>ROUND(12.0377,4)</f>
        <v>12.0377</v>
      </c>
      <c r="G270" s="24"/>
      <c r="H270" s="35"/>
    </row>
    <row r="271" spans="1:8" ht="12.75" customHeight="1">
      <c r="A271" s="22">
        <v>43235</v>
      </c>
      <c r="B271" s="22"/>
      <c r="C271" s="25">
        <f>ROUND(11.9791,4)</f>
        <v>11.9791</v>
      </c>
      <c r="D271" s="25">
        <f>F271</f>
        <v>12.0393</v>
      </c>
      <c r="E271" s="25">
        <f>F271</f>
        <v>12.0393</v>
      </c>
      <c r="F271" s="25">
        <f>ROUND(12.0393,4)</f>
        <v>12.0393</v>
      </c>
      <c r="G271" s="24"/>
      <c r="H271" s="35"/>
    </row>
    <row r="272" spans="1:8" ht="12.75" customHeight="1">
      <c r="A272" s="22">
        <v>43238</v>
      </c>
      <c r="B272" s="22"/>
      <c r="C272" s="25">
        <f>ROUND(11.9791,4)</f>
        <v>11.9791</v>
      </c>
      <c r="D272" s="25">
        <f>F272</f>
        <v>12.0442</v>
      </c>
      <c r="E272" s="25">
        <f>F272</f>
        <v>12.0442</v>
      </c>
      <c r="F272" s="25">
        <f>ROUND(12.0442,4)</f>
        <v>12.0442</v>
      </c>
      <c r="G272" s="24"/>
      <c r="H272" s="35"/>
    </row>
    <row r="273" spans="1:8" ht="12.75" customHeight="1">
      <c r="A273" s="22">
        <v>43251</v>
      </c>
      <c r="B273" s="22"/>
      <c r="C273" s="25">
        <f>ROUND(11.9791,4)</f>
        <v>11.9791</v>
      </c>
      <c r="D273" s="25">
        <f>F273</f>
        <v>12.0654</v>
      </c>
      <c r="E273" s="25">
        <f>F273</f>
        <v>12.0654</v>
      </c>
      <c r="F273" s="25">
        <f>ROUND(12.0654,4)</f>
        <v>12.0654</v>
      </c>
      <c r="G273" s="24"/>
      <c r="H273" s="35"/>
    </row>
    <row r="274" spans="1:8" ht="12.75" customHeight="1">
      <c r="A274" s="22">
        <v>43280</v>
      </c>
      <c r="B274" s="22"/>
      <c r="C274" s="25">
        <f>ROUND(11.9791,4)</f>
        <v>11.9791</v>
      </c>
      <c r="D274" s="25">
        <f>F274</f>
        <v>12.1106</v>
      </c>
      <c r="E274" s="25">
        <f>F274</f>
        <v>12.1106</v>
      </c>
      <c r="F274" s="25">
        <f>ROUND(12.1106,4)</f>
        <v>12.1106</v>
      </c>
      <c r="G274" s="24"/>
      <c r="H274" s="35"/>
    </row>
    <row r="275" spans="1:8" ht="12.75" customHeight="1">
      <c r="A275" s="22">
        <v>43283</v>
      </c>
      <c r="B275" s="22"/>
      <c r="C275" s="25">
        <f>ROUND(11.9791,4)</f>
        <v>11.9791</v>
      </c>
      <c r="D275" s="25">
        <f>F275</f>
        <v>12.1152</v>
      </c>
      <c r="E275" s="25">
        <f>F275</f>
        <v>12.1152</v>
      </c>
      <c r="F275" s="25">
        <f>ROUND(12.1152,4)</f>
        <v>12.1152</v>
      </c>
      <c r="G275" s="24"/>
      <c r="H275" s="35"/>
    </row>
    <row r="276" spans="1:8" ht="12.75" customHeight="1">
      <c r="A276" s="22">
        <v>43287</v>
      </c>
      <c r="B276" s="22"/>
      <c r="C276" s="25">
        <f>ROUND(11.9791,4)</f>
        <v>11.9791</v>
      </c>
      <c r="D276" s="25">
        <f>F276</f>
        <v>12.1213</v>
      </c>
      <c r="E276" s="25">
        <f>F276</f>
        <v>12.1213</v>
      </c>
      <c r="F276" s="25">
        <f>ROUND(12.1213,4)</f>
        <v>12.1213</v>
      </c>
      <c r="G276" s="24"/>
      <c r="H276" s="35"/>
    </row>
    <row r="277" spans="1:8" ht="12.75" customHeight="1">
      <c r="A277" s="22">
        <v>43301</v>
      </c>
      <c r="B277" s="22"/>
      <c r="C277" s="25">
        <f>ROUND(11.9791,4)</f>
        <v>11.9791</v>
      </c>
      <c r="D277" s="25">
        <f>F277</f>
        <v>12.1428</v>
      </c>
      <c r="E277" s="25">
        <f>F277</f>
        <v>12.1428</v>
      </c>
      <c r="F277" s="25">
        <f>ROUND(12.1428,4)</f>
        <v>12.1428</v>
      </c>
      <c r="G277" s="24"/>
      <c r="H277" s="35"/>
    </row>
    <row r="278" spans="1:8" ht="12.75" customHeight="1">
      <c r="A278" s="22">
        <v>43305</v>
      </c>
      <c r="B278" s="22"/>
      <c r="C278" s="25">
        <f>ROUND(11.9791,4)</f>
        <v>11.9791</v>
      </c>
      <c r="D278" s="25">
        <f>F278</f>
        <v>12.149</v>
      </c>
      <c r="E278" s="25">
        <f>F278</f>
        <v>12.149</v>
      </c>
      <c r="F278" s="25">
        <f>ROUND(12.149,4)</f>
        <v>12.149</v>
      </c>
      <c r="G278" s="24"/>
      <c r="H278" s="35"/>
    </row>
    <row r="279" spans="1:8" ht="12.75" customHeight="1">
      <c r="A279" s="22">
        <v>43306</v>
      </c>
      <c r="B279" s="22"/>
      <c r="C279" s="25">
        <f>ROUND(11.9791,4)</f>
        <v>11.9791</v>
      </c>
      <c r="D279" s="25">
        <f>F279</f>
        <v>12.1505</v>
      </c>
      <c r="E279" s="25">
        <f>F279</f>
        <v>12.1505</v>
      </c>
      <c r="F279" s="25">
        <f>ROUND(12.1505,4)</f>
        <v>12.1505</v>
      </c>
      <c r="G279" s="24"/>
      <c r="H279" s="35"/>
    </row>
    <row r="280" spans="1:8" ht="12.75" customHeight="1">
      <c r="A280" s="22">
        <v>43308</v>
      </c>
      <c r="B280" s="22"/>
      <c r="C280" s="25">
        <f>ROUND(11.9791,4)</f>
        <v>11.9791</v>
      </c>
      <c r="D280" s="25">
        <f>F280</f>
        <v>12.1536</v>
      </c>
      <c r="E280" s="25">
        <f>F280</f>
        <v>12.1536</v>
      </c>
      <c r="F280" s="25">
        <f>ROUND(12.1536,4)</f>
        <v>12.1536</v>
      </c>
      <c r="G280" s="24"/>
      <c r="H280" s="35"/>
    </row>
    <row r="281" spans="1:8" ht="12.75" customHeight="1">
      <c r="A281" s="22">
        <v>43312</v>
      </c>
      <c r="B281" s="22"/>
      <c r="C281" s="25">
        <f>ROUND(11.9791,4)</f>
        <v>11.9791</v>
      </c>
      <c r="D281" s="25">
        <f>F281</f>
        <v>12.1598</v>
      </c>
      <c r="E281" s="25">
        <f>F281</f>
        <v>12.1598</v>
      </c>
      <c r="F281" s="25">
        <f>ROUND(12.1598,4)</f>
        <v>12.1598</v>
      </c>
      <c r="G281" s="24"/>
      <c r="H281" s="35"/>
    </row>
    <row r="282" spans="1:8" ht="12.75" customHeight="1">
      <c r="A282" s="22">
        <v>43319</v>
      </c>
      <c r="B282" s="22"/>
      <c r="C282" s="25">
        <f>ROUND(11.9791,4)</f>
        <v>11.9791</v>
      </c>
      <c r="D282" s="25">
        <f>F282</f>
        <v>12.1706</v>
      </c>
      <c r="E282" s="25">
        <f>F282</f>
        <v>12.1706</v>
      </c>
      <c r="F282" s="25">
        <f>ROUND(12.1706,4)</f>
        <v>12.1706</v>
      </c>
      <c r="G282" s="24"/>
      <c r="H282" s="35"/>
    </row>
    <row r="283" spans="1:8" ht="12.75" customHeight="1">
      <c r="A283" s="22">
        <v>43325</v>
      </c>
      <c r="B283" s="22"/>
      <c r="C283" s="25">
        <f>ROUND(11.9791,4)</f>
        <v>11.9791</v>
      </c>
      <c r="D283" s="25">
        <f>F283</f>
        <v>12.1799</v>
      </c>
      <c r="E283" s="25">
        <f>F283</f>
        <v>12.1799</v>
      </c>
      <c r="F283" s="25">
        <f>ROUND(12.1799,4)</f>
        <v>12.1799</v>
      </c>
      <c r="G283" s="24"/>
      <c r="H283" s="35"/>
    </row>
    <row r="284" spans="1:8" ht="12.75" customHeight="1">
      <c r="A284" s="22">
        <v>43343</v>
      </c>
      <c r="B284" s="22"/>
      <c r="C284" s="25">
        <f>ROUND(11.9791,4)</f>
        <v>11.9791</v>
      </c>
      <c r="D284" s="25">
        <f>F284</f>
        <v>12.2076</v>
      </c>
      <c r="E284" s="25">
        <f>F284</f>
        <v>12.2076</v>
      </c>
      <c r="F284" s="25">
        <f>ROUND(12.2076,4)</f>
        <v>12.2076</v>
      </c>
      <c r="G284" s="24"/>
      <c r="H284" s="35"/>
    </row>
    <row r="285" spans="1:8" ht="12.75" customHeight="1">
      <c r="A285" s="22">
        <v>43371</v>
      </c>
      <c r="B285" s="22"/>
      <c r="C285" s="25">
        <f>ROUND(11.9791,4)</f>
        <v>11.9791</v>
      </c>
      <c r="D285" s="25">
        <f>F285</f>
        <v>12.2509</v>
      </c>
      <c r="E285" s="25">
        <f>F285</f>
        <v>12.2509</v>
      </c>
      <c r="F285" s="25">
        <f>ROUND(12.2509,4)</f>
        <v>12.2509</v>
      </c>
      <c r="G285" s="24"/>
      <c r="H285" s="35"/>
    </row>
    <row r="286" spans="1:8" ht="12.75" customHeight="1">
      <c r="A286" s="22">
        <v>43398</v>
      </c>
      <c r="B286" s="22"/>
      <c r="C286" s="25">
        <f>ROUND(11.9791,4)</f>
        <v>11.9791</v>
      </c>
      <c r="D286" s="25">
        <f>F286</f>
        <v>12.2925</v>
      </c>
      <c r="E286" s="25">
        <f>F286</f>
        <v>12.2925</v>
      </c>
      <c r="F286" s="25">
        <f>ROUND(12.2925,4)</f>
        <v>12.2925</v>
      </c>
      <c r="G286" s="24"/>
      <c r="H286" s="35"/>
    </row>
    <row r="287" spans="1:8" ht="12.75" customHeight="1">
      <c r="A287" s="22">
        <v>43402</v>
      </c>
      <c r="B287" s="22"/>
      <c r="C287" s="25">
        <f>ROUND(11.9791,4)</f>
        <v>11.9791</v>
      </c>
      <c r="D287" s="25">
        <f>F287</f>
        <v>12.2987</v>
      </c>
      <c r="E287" s="25">
        <f>F287</f>
        <v>12.2987</v>
      </c>
      <c r="F287" s="25">
        <f>ROUND(12.2987,4)</f>
        <v>12.2987</v>
      </c>
      <c r="G287" s="24"/>
      <c r="H287" s="35"/>
    </row>
    <row r="288" spans="1:8" ht="12.75" customHeight="1">
      <c r="A288" s="22">
        <v>43404</v>
      </c>
      <c r="B288" s="22"/>
      <c r="C288" s="25">
        <f>ROUND(11.9791,4)</f>
        <v>11.9791</v>
      </c>
      <c r="D288" s="25">
        <f>F288</f>
        <v>12.3018</v>
      </c>
      <c r="E288" s="25">
        <f>F288</f>
        <v>12.3018</v>
      </c>
      <c r="F288" s="25">
        <f>ROUND(12.3018,4)</f>
        <v>12.3018</v>
      </c>
      <c r="G288" s="24"/>
      <c r="H288" s="35"/>
    </row>
    <row r="289" spans="1:8" ht="12.75" customHeight="1">
      <c r="A289" s="22">
        <v>43409</v>
      </c>
      <c r="B289" s="22"/>
      <c r="C289" s="25">
        <f>ROUND(11.9791,4)</f>
        <v>11.9791</v>
      </c>
      <c r="D289" s="25">
        <f>F289</f>
        <v>12.3095</v>
      </c>
      <c r="E289" s="25">
        <f>F289</f>
        <v>12.3095</v>
      </c>
      <c r="F289" s="25">
        <f>ROUND(12.3095,4)</f>
        <v>12.3095</v>
      </c>
      <c r="G289" s="24"/>
      <c r="H289" s="35"/>
    </row>
    <row r="290" spans="1:8" ht="12.75" customHeight="1">
      <c r="A290" s="22">
        <v>43417</v>
      </c>
      <c r="B290" s="22"/>
      <c r="C290" s="25">
        <f>ROUND(11.9791,4)</f>
        <v>11.9791</v>
      </c>
      <c r="D290" s="25">
        <f>F290</f>
        <v>12.3218</v>
      </c>
      <c r="E290" s="25">
        <f>F290</f>
        <v>12.3218</v>
      </c>
      <c r="F290" s="25">
        <f>ROUND(12.3218,4)</f>
        <v>12.3218</v>
      </c>
      <c r="G290" s="24"/>
      <c r="H290" s="35"/>
    </row>
    <row r="291" spans="1:8" ht="12.75" customHeight="1">
      <c r="A291" s="22">
        <v>43420</v>
      </c>
      <c r="B291" s="22"/>
      <c r="C291" s="25">
        <f>ROUND(11.9791,4)</f>
        <v>11.9791</v>
      </c>
      <c r="D291" s="25">
        <f>F291</f>
        <v>12.3264</v>
      </c>
      <c r="E291" s="25">
        <f>F291</f>
        <v>12.3264</v>
      </c>
      <c r="F291" s="25">
        <f>ROUND(12.3264,4)</f>
        <v>12.3264</v>
      </c>
      <c r="G291" s="24"/>
      <c r="H291" s="35"/>
    </row>
    <row r="292" spans="1:8" ht="12.75" customHeight="1">
      <c r="A292" s="22">
        <v>43434</v>
      </c>
      <c r="B292" s="22"/>
      <c r="C292" s="25">
        <f>ROUND(11.9791,4)</f>
        <v>11.9791</v>
      </c>
      <c r="D292" s="25">
        <f>F292</f>
        <v>12.348</v>
      </c>
      <c r="E292" s="25">
        <f>F292</f>
        <v>12.348</v>
      </c>
      <c r="F292" s="25">
        <f>ROUND(12.348,4)</f>
        <v>12.348</v>
      </c>
      <c r="G292" s="24"/>
      <c r="H292" s="35"/>
    </row>
    <row r="293" spans="1:8" ht="12.75" customHeight="1">
      <c r="A293" s="22">
        <v>43445</v>
      </c>
      <c r="B293" s="22"/>
      <c r="C293" s="25">
        <f>ROUND(11.9791,4)</f>
        <v>11.9791</v>
      </c>
      <c r="D293" s="25">
        <f>F293</f>
        <v>12.3649</v>
      </c>
      <c r="E293" s="25">
        <f>F293</f>
        <v>12.3649</v>
      </c>
      <c r="F293" s="25">
        <f>ROUND(12.3649,4)</f>
        <v>12.3649</v>
      </c>
      <c r="G293" s="24"/>
      <c r="H293" s="35"/>
    </row>
    <row r="294" spans="1:8" ht="12.75" customHeight="1">
      <c r="A294" s="22">
        <v>43465</v>
      </c>
      <c r="B294" s="22"/>
      <c r="C294" s="25">
        <f>ROUND(11.9791,4)</f>
        <v>11.9791</v>
      </c>
      <c r="D294" s="25">
        <f>F294</f>
        <v>12.3958</v>
      </c>
      <c r="E294" s="25">
        <f>F294</f>
        <v>12.3958</v>
      </c>
      <c r="F294" s="25">
        <f>ROUND(12.3958,4)</f>
        <v>12.3958</v>
      </c>
      <c r="G294" s="24"/>
      <c r="H294" s="35"/>
    </row>
    <row r="295" spans="1:8" ht="12.75" customHeight="1">
      <c r="A295" s="22">
        <v>43509</v>
      </c>
      <c r="B295" s="22"/>
      <c r="C295" s="25">
        <f>ROUND(11.9791,4)</f>
        <v>11.9791</v>
      </c>
      <c r="D295" s="25">
        <f>F295</f>
        <v>12.4625</v>
      </c>
      <c r="E295" s="25">
        <f>F295</f>
        <v>12.4625</v>
      </c>
      <c r="F295" s="25">
        <f>ROUND(12.4625,4)</f>
        <v>12.4625</v>
      </c>
      <c r="G295" s="24"/>
      <c r="H295" s="35"/>
    </row>
    <row r="296" spans="1:8" ht="12.75" customHeight="1">
      <c r="A296" s="22">
        <v>43551</v>
      </c>
      <c r="B296" s="22"/>
      <c r="C296" s="25">
        <f>ROUND(11.9791,4)</f>
        <v>11.9791</v>
      </c>
      <c r="D296" s="25">
        <f>F296</f>
        <v>12.526</v>
      </c>
      <c r="E296" s="25">
        <f>F296</f>
        <v>12.526</v>
      </c>
      <c r="F296" s="25">
        <f>ROUND(12.526,4)</f>
        <v>12.526</v>
      </c>
      <c r="G296" s="24"/>
      <c r="H296" s="35"/>
    </row>
    <row r="297" spans="1:8" ht="12.75" customHeight="1">
      <c r="A297" s="22">
        <v>44040</v>
      </c>
      <c r="B297" s="22"/>
      <c r="C297" s="25">
        <f>ROUND(11.9791,4)</f>
        <v>11.9791</v>
      </c>
      <c r="D297" s="25">
        <f>F297</f>
        <v>13.3068</v>
      </c>
      <c r="E297" s="25">
        <f>F297</f>
        <v>13.3068</v>
      </c>
      <c r="F297" s="25">
        <f>ROUND(13.3068,4)</f>
        <v>13.3068</v>
      </c>
      <c r="G297" s="24"/>
      <c r="H297" s="35"/>
    </row>
    <row r="298" spans="1:8" ht="12.75" customHeight="1">
      <c r="A298" s="22" t="s">
        <v>65</v>
      </c>
      <c r="B298" s="22"/>
      <c r="C298" s="23"/>
      <c r="D298" s="23"/>
      <c r="E298" s="23"/>
      <c r="F298" s="23"/>
      <c r="G298" s="24"/>
      <c r="H298" s="35"/>
    </row>
    <row r="299" spans="1:8" ht="12.75" customHeight="1">
      <c r="A299" s="22">
        <v>43223</v>
      </c>
      <c r="B299" s="22"/>
      <c r="C299" s="25">
        <f>ROUND(8.97145862376973,4)</f>
        <v>8.9715</v>
      </c>
      <c r="D299" s="25">
        <f>F299</f>
        <v>8.9279</v>
      </c>
      <c r="E299" s="25">
        <f>F299</f>
        <v>8.9279</v>
      </c>
      <c r="F299" s="25">
        <f>ROUND(8.9279,4)</f>
        <v>8.9279</v>
      </c>
      <c r="G299" s="24"/>
      <c r="H299" s="35"/>
    </row>
    <row r="300" spans="1:8" ht="12.75" customHeight="1">
      <c r="A300" s="22">
        <v>43280</v>
      </c>
      <c r="B300" s="22"/>
      <c r="C300" s="25">
        <f>ROUND(8.97145862376973,4)</f>
        <v>8.9715</v>
      </c>
      <c r="D300" s="25">
        <f>F300</f>
        <v>8.826</v>
      </c>
      <c r="E300" s="25">
        <f>F300</f>
        <v>8.826</v>
      </c>
      <c r="F300" s="25">
        <f>ROUND(8.826,4)</f>
        <v>8.826</v>
      </c>
      <c r="G300" s="24"/>
      <c r="H300" s="35"/>
    </row>
    <row r="301" spans="1:8" ht="12.75" customHeight="1">
      <c r="A301" s="22" t="s">
        <v>66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ROUND(1.22281666666667,4)</f>
        <v>1.2228</v>
      </c>
      <c r="D302" s="25">
        <f>F302</f>
        <v>1.2291</v>
      </c>
      <c r="E302" s="25">
        <f>F302</f>
        <v>1.2291</v>
      </c>
      <c r="F302" s="25">
        <f>ROUND(1.2291,4)</f>
        <v>1.2291</v>
      </c>
      <c r="G302" s="24"/>
      <c r="H302" s="35"/>
    </row>
    <row r="303" spans="1:8" ht="12.75" customHeight="1">
      <c r="A303" s="22">
        <v>43360</v>
      </c>
      <c r="B303" s="22"/>
      <c r="C303" s="25">
        <f>ROUND(1.22281666666667,4)</f>
        <v>1.2228</v>
      </c>
      <c r="D303" s="25">
        <f>F303</f>
        <v>1.2381</v>
      </c>
      <c r="E303" s="25">
        <f>F303</f>
        <v>1.2381</v>
      </c>
      <c r="F303" s="25">
        <f>ROUND(1.2381,4)</f>
        <v>1.2381</v>
      </c>
      <c r="G303" s="24"/>
      <c r="H303" s="35"/>
    </row>
    <row r="304" spans="1:8" ht="12.75" customHeight="1">
      <c r="A304" s="22">
        <v>43448</v>
      </c>
      <c r="B304" s="22"/>
      <c r="C304" s="25">
        <f>ROUND(1.22281666666667,4)</f>
        <v>1.2228</v>
      </c>
      <c r="D304" s="25">
        <f>F304</f>
        <v>1.2473</v>
      </c>
      <c r="E304" s="25">
        <f>F304</f>
        <v>1.2473</v>
      </c>
      <c r="F304" s="25">
        <f>ROUND(1.2473,4)</f>
        <v>1.2473</v>
      </c>
      <c r="G304" s="24"/>
      <c r="H304" s="35"/>
    </row>
    <row r="305" spans="1:8" ht="12.75" customHeight="1">
      <c r="A305" s="22">
        <v>43542</v>
      </c>
      <c r="B305" s="22"/>
      <c r="C305" s="25">
        <f>ROUND(1.22281666666667,4)</f>
        <v>1.2228</v>
      </c>
      <c r="D305" s="25">
        <f>F305</f>
        <v>1.2579</v>
      </c>
      <c r="E305" s="25">
        <f>F305</f>
        <v>1.2579</v>
      </c>
      <c r="F305" s="25">
        <f>ROUND(1.2579,4)</f>
        <v>1.2579</v>
      </c>
      <c r="G305" s="24"/>
      <c r="H305" s="35"/>
    </row>
    <row r="306" spans="1:8" ht="12.75" customHeight="1">
      <c r="A306" s="22" t="s">
        <v>67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ROUND(1.3999375,4)</f>
        <v>1.3999</v>
      </c>
      <c r="D307" s="25">
        <f>F307</f>
        <v>1.4041</v>
      </c>
      <c r="E307" s="25">
        <f>F307</f>
        <v>1.4041</v>
      </c>
      <c r="F307" s="25">
        <f>ROUND(1.4041,4)</f>
        <v>1.4041</v>
      </c>
      <c r="G307" s="24"/>
      <c r="H307" s="35"/>
    </row>
    <row r="308" spans="1:8" ht="12.75" customHeight="1">
      <c r="A308" s="22">
        <v>43360</v>
      </c>
      <c r="B308" s="22"/>
      <c r="C308" s="25">
        <f>ROUND(1.3999375,4)</f>
        <v>1.3999</v>
      </c>
      <c r="D308" s="25">
        <f>F308</f>
        <v>1.4097</v>
      </c>
      <c r="E308" s="25">
        <f>F308</f>
        <v>1.4097</v>
      </c>
      <c r="F308" s="25">
        <f>ROUND(1.4097,4)</f>
        <v>1.4097</v>
      </c>
      <c r="G308" s="24"/>
      <c r="H308" s="35"/>
    </row>
    <row r="309" spans="1:8" ht="12.75" customHeight="1">
      <c r="A309" s="22">
        <v>43448</v>
      </c>
      <c r="B309" s="22"/>
      <c r="C309" s="25">
        <f>ROUND(1.3999375,4)</f>
        <v>1.3999</v>
      </c>
      <c r="D309" s="25">
        <f>F309</f>
        <v>1.4151</v>
      </c>
      <c r="E309" s="25">
        <f>F309</f>
        <v>1.4151</v>
      </c>
      <c r="F309" s="25">
        <f>ROUND(1.4151,4)</f>
        <v>1.4151</v>
      </c>
      <c r="G309" s="24"/>
      <c r="H309" s="35"/>
    </row>
    <row r="310" spans="1:8" ht="12.75" customHeight="1">
      <c r="A310" s="22">
        <v>43542</v>
      </c>
      <c r="B310" s="22"/>
      <c r="C310" s="25">
        <f>ROUND(1.3999375,4)</f>
        <v>1.3999</v>
      </c>
      <c r="D310" s="25">
        <f>F310</f>
        <v>1.4212</v>
      </c>
      <c r="E310" s="25">
        <f>F310</f>
        <v>1.4212</v>
      </c>
      <c r="F310" s="25">
        <f>ROUND(1.4212,4)</f>
        <v>1.4212</v>
      </c>
      <c r="G310" s="24"/>
      <c r="H310" s="35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ROUND(8.97145862376973,4)</f>
        <v>8.9715</v>
      </c>
      <c r="D312" s="25">
        <f>F312</f>
        <v>8.846</v>
      </c>
      <c r="E312" s="25">
        <f>F312</f>
        <v>8.846</v>
      </c>
      <c r="F312" s="25">
        <f>ROUND(8.846,4)</f>
        <v>8.846</v>
      </c>
      <c r="G312" s="24"/>
      <c r="H312" s="35"/>
    </row>
    <row r="313" spans="1:8" ht="12.75" customHeight="1">
      <c r="A313" s="22">
        <v>43360</v>
      </c>
      <c r="B313" s="22"/>
      <c r="C313" s="25">
        <f>ROUND(8.97145862376973,4)</f>
        <v>8.9715</v>
      </c>
      <c r="D313" s="25">
        <f>F313</f>
        <v>8.6873</v>
      </c>
      <c r="E313" s="25">
        <f>F313</f>
        <v>8.6873</v>
      </c>
      <c r="F313" s="25">
        <f>ROUND(8.6873,4)</f>
        <v>8.6873</v>
      </c>
      <c r="G313" s="24"/>
      <c r="H313" s="35"/>
    </row>
    <row r="314" spans="1:8" ht="12.75" customHeight="1">
      <c r="A314" s="22">
        <v>43448</v>
      </c>
      <c r="B314" s="22"/>
      <c r="C314" s="25">
        <f>ROUND(8.97145862376973,4)</f>
        <v>8.9715</v>
      </c>
      <c r="D314" s="25">
        <f>F314</f>
        <v>8.5337</v>
      </c>
      <c r="E314" s="25">
        <f>F314</f>
        <v>8.5337</v>
      </c>
      <c r="F314" s="25">
        <f>ROUND(8.5337,4)</f>
        <v>8.5337</v>
      </c>
      <c r="G314" s="24"/>
      <c r="H314" s="35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ROUND(9.2038420075,4)</f>
        <v>9.2038</v>
      </c>
      <c r="D316" s="25">
        <f>F316</f>
        <v>9.2931</v>
      </c>
      <c r="E316" s="25">
        <f>F316</f>
        <v>9.2931</v>
      </c>
      <c r="F316" s="25">
        <f>ROUND(9.2931,4)</f>
        <v>9.2931</v>
      </c>
      <c r="G316" s="24"/>
      <c r="H316" s="35"/>
    </row>
    <row r="317" spans="1:8" ht="12.75" customHeight="1">
      <c r="A317" s="22">
        <v>43360</v>
      </c>
      <c r="B317" s="22"/>
      <c r="C317" s="25">
        <f>ROUND(9.2038420075,4)</f>
        <v>9.2038</v>
      </c>
      <c r="D317" s="25">
        <f>F317</f>
        <v>9.406</v>
      </c>
      <c r="E317" s="25">
        <f>F317</f>
        <v>9.406</v>
      </c>
      <c r="F317" s="25">
        <f>ROUND(9.406,4)</f>
        <v>9.406</v>
      </c>
      <c r="G317" s="24"/>
      <c r="H317" s="35"/>
    </row>
    <row r="318" spans="1:8" ht="12.75" customHeight="1">
      <c r="A318" s="22">
        <v>43448</v>
      </c>
      <c r="B318" s="22"/>
      <c r="C318" s="25">
        <f>ROUND(9.2038420075,4)</f>
        <v>9.2038</v>
      </c>
      <c r="D318" s="25">
        <f>F318</f>
        <v>9.5177</v>
      </c>
      <c r="E318" s="25">
        <f>F318</f>
        <v>9.5177</v>
      </c>
      <c r="F318" s="25">
        <f>ROUND(9.5177,4)</f>
        <v>9.5177</v>
      </c>
      <c r="G318" s="24"/>
      <c r="H318" s="35"/>
    </row>
    <row r="319" spans="1:8" ht="12.75" customHeight="1">
      <c r="A319" s="22">
        <v>43542</v>
      </c>
      <c r="B319" s="22"/>
      <c r="C319" s="25">
        <f>ROUND(9.2038420075,4)</f>
        <v>9.2038</v>
      </c>
      <c r="D319" s="25">
        <f>F319</f>
        <v>9.6369</v>
      </c>
      <c r="E319" s="25">
        <f>F319</f>
        <v>9.6369</v>
      </c>
      <c r="F319" s="25">
        <f>ROUND(9.6369,4)</f>
        <v>9.6369</v>
      </c>
      <c r="G319" s="24"/>
      <c r="H319" s="35"/>
    </row>
    <row r="320" spans="1:8" ht="12.75" customHeight="1">
      <c r="A320" s="22">
        <v>43630</v>
      </c>
      <c r="B320" s="22"/>
      <c r="C320" s="25">
        <f>ROUND(9.2038420075,4)</f>
        <v>9.2038</v>
      </c>
      <c r="D320" s="25">
        <f>F320</f>
        <v>9.7506</v>
      </c>
      <c r="E320" s="25">
        <f>F320</f>
        <v>9.7506</v>
      </c>
      <c r="F320" s="25">
        <f>ROUND(9.7506,4)</f>
        <v>9.7506</v>
      </c>
      <c r="G320" s="24"/>
      <c r="H320" s="35"/>
    </row>
    <row r="321" spans="1:8" ht="12.75" customHeight="1">
      <c r="A321" s="22">
        <v>43724</v>
      </c>
      <c r="B321" s="22"/>
      <c r="C321" s="25">
        <f>ROUND(9.2038420075,4)</f>
        <v>9.2038</v>
      </c>
      <c r="D321" s="25">
        <f>F321</f>
        <v>9.8727</v>
      </c>
      <c r="E321" s="25">
        <f>F321</f>
        <v>9.8727</v>
      </c>
      <c r="F321" s="25">
        <f>ROUND(9.8727,4)</f>
        <v>9.8727</v>
      </c>
      <c r="G321" s="24"/>
      <c r="H321" s="35"/>
    </row>
    <row r="322" spans="1:8" ht="12.75" customHeight="1">
      <c r="A322" s="22">
        <v>43812</v>
      </c>
      <c r="B322" s="22"/>
      <c r="C322" s="25">
        <f>ROUND(9.2038420075,4)</f>
        <v>9.2038</v>
      </c>
      <c r="D322" s="25">
        <f>F322</f>
        <v>9.9838</v>
      </c>
      <c r="E322" s="25">
        <f>F322</f>
        <v>9.9838</v>
      </c>
      <c r="F322" s="25">
        <f>ROUND(9.9838,4)</f>
        <v>9.9838</v>
      </c>
      <c r="G322" s="24"/>
      <c r="H322" s="35"/>
    </row>
    <row r="323" spans="1:8" ht="12.75" customHeight="1">
      <c r="A323" s="22">
        <v>43906</v>
      </c>
      <c r="B323" s="22"/>
      <c r="C323" s="25">
        <f>ROUND(9.2038420075,4)</f>
        <v>9.2038</v>
      </c>
      <c r="D323" s="25">
        <f>F323</f>
        <v>10.1025</v>
      </c>
      <c r="E323" s="25">
        <f>F323</f>
        <v>10.1025</v>
      </c>
      <c r="F323" s="25">
        <f>ROUND(10.1025,4)</f>
        <v>10.1025</v>
      </c>
      <c r="G323" s="24"/>
      <c r="H323" s="35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ROUND(3.26130516457488,4)</f>
        <v>3.2613</v>
      </c>
      <c r="D325" s="25">
        <f>F325</f>
        <v>3.5195</v>
      </c>
      <c r="E325" s="25">
        <f>F325</f>
        <v>3.5195</v>
      </c>
      <c r="F325" s="25">
        <f>ROUND(3.5195,4)</f>
        <v>3.5195</v>
      </c>
      <c r="G325" s="24"/>
      <c r="H325" s="35"/>
    </row>
    <row r="326" spans="1:8" ht="12.75" customHeight="1">
      <c r="A326" s="22">
        <v>43360</v>
      </c>
      <c r="B326" s="22"/>
      <c r="C326" s="25">
        <f>ROUND(3.26130516457488,4)</f>
        <v>3.2613</v>
      </c>
      <c r="D326" s="25">
        <f>F326</f>
        <v>3.5589</v>
      </c>
      <c r="E326" s="25">
        <f>F326</f>
        <v>3.5589</v>
      </c>
      <c r="F326" s="25">
        <f>ROUND(3.5589,4)</f>
        <v>3.5589</v>
      </c>
      <c r="G326" s="24"/>
      <c r="H326" s="35"/>
    </row>
    <row r="327" spans="1:8" ht="12.75" customHeight="1">
      <c r="A327" s="22">
        <v>43448</v>
      </c>
      <c r="B327" s="22"/>
      <c r="C327" s="25">
        <f>ROUND(3.26130516457488,4)</f>
        <v>3.2613</v>
      </c>
      <c r="D327" s="25">
        <f>F327</f>
        <v>3.6003</v>
      </c>
      <c r="E327" s="25">
        <f>F327</f>
        <v>3.6003</v>
      </c>
      <c r="F327" s="25">
        <f>ROUND(3.6003,4)</f>
        <v>3.6003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ROUND(1.24702431,4)</f>
        <v>1.247</v>
      </c>
      <c r="D329" s="25">
        <f>F329</f>
        <v>1.2539</v>
      </c>
      <c r="E329" s="25">
        <f>F329</f>
        <v>1.2539</v>
      </c>
      <c r="F329" s="25">
        <f>ROUND(1.2539,4)</f>
        <v>1.2539</v>
      </c>
      <c r="G329" s="24"/>
      <c r="H329" s="35"/>
    </row>
    <row r="330" spans="1:8" ht="12.75" customHeight="1">
      <c r="A330" s="22">
        <v>43360</v>
      </c>
      <c r="B330" s="22"/>
      <c r="C330" s="25">
        <f>ROUND(1.24702431,4)</f>
        <v>1.247</v>
      </c>
      <c r="D330" s="25">
        <f>F330</f>
        <v>1.2618</v>
      </c>
      <c r="E330" s="25">
        <f>F330</f>
        <v>1.2618</v>
      </c>
      <c r="F330" s="25">
        <f>ROUND(1.2618,4)</f>
        <v>1.2618</v>
      </c>
      <c r="G330" s="24"/>
      <c r="H330" s="35"/>
    </row>
    <row r="331" spans="1:8" ht="12.75" customHeight="1">
      <c r="A331" s="22">
        <v>43448</v>
      </c>
      <c r="B331" s="22"/>
      <c r="C331" s="25">
        <f>ROUND(1.24702431,4)</f>
        <v>1.247</v>
      </c>
      <c r="D331" s="25">
        <f>F331</f>
        <v>1.2698</v>
      </c>
      <c r="E331" s="25">
        <f>F331</f>
        <v>1.2698</v>
      </c>
      <c r="F331" s="25">
        <f>ROUND(1.2698,4)</f>
        <v>1.2698</v>
      </c>
      <c r="G331" s="24"/>
      <c r="H331" s="35"/>
    </row>
    <row r="332" spans="1:8" ht="12.75" customHeight="1">
      <c r="A332" s="22">
        <v>43542</v>
      </c>
      <c r="B332" s="22"/>
      <c r="C332" s="25">
        <f>ROUND(1.24702431,4)</f>
        <v>1.247</v>
      </c>
      <c r="D332" s="25">
        <f>F332</f>
        <v>1.2762</v>
      </c>
      <c r="E332" s="25">
        <f>F332</f>
        <v>1.2762</v>
      </c>
      <c r="F332" s="25">
        <f>ROUND(1.2762,4)</f>
        <v>1.2762</v>
      </c>
      <c r="G332" s="24"/>
      <c r="H332" s="35"/>
    </row>
    <row r="333" spans="1:8" ht="12.75" customHeight="1">
      <c r="A333" s="22">
        <v>43630</v>
      </c>
      <c r="B333" s="22"/>
      <c r="C333" s="25">
        <f>ROUND(1.24702431,4)</f>
        <v>1.247</v>
      </c>
      <c r="D333" s="25">
        <f>F333</f>
        <v>1.3391</v>
      </c>
      <c r="E333" s="25">
        <f>F333</f>
        <v>1.3391</v>
      </c>
      <c r="F333" s="25">
        <f>ROUND(1.3391,4)</f>
        <v>1.3391</v>
      </c>
      <c r="G333" s="24"/>
      <c r="H333" s="35"/>
    </row>
    <row r="334" spans="1:8" ht="12.75" customHeight="1">
      <c r="A334" s="22">
        <v>43724</v>
      </c>
      <c r="B334" s="22"/>
      <c r="C334" s="25">
        <f>ROUND(1.24702431,4)</f>
        <v>1.247</v>
      </c>
      <c r="D334" s="25">
        <f>F334</f>
        <v>1.3491</v>
      </c>
      <c r="E334" s="25">
        <f>F334</f>
        <v>1.3491</v>
      </c>
      <c r="F334" s="25">
        <f>ROUND(1.3491,4)</f>
        <v>1.3491</v>
      </c>
      <c r="G334" s="24"/>
      <c r="H334" s="35"/>
    </row>
    <row r="335" spans="1:8" ht="12.75" customHeight="1">
      <c r="A335" s="22">
        <v>43812</v>
      </c>
      <c r="B335" s="22"/>
      <c r="C335" s="25">
        <f>ROUND(1.24702431,4)</f>
        <v>1.247</v>
      </c>
      <c r="D335" s="25">
        <f>F335</f>
        <v>1.3551</v>
      </c>
      <c r="E335" s="25">
        <f>F335</f>
        <v>1.3551</v>
      </c>
      <c r="F335" s="25">
        <f>ROUND(1.3551,4)</f>
        <v>1.3551</v>
      </c>
      <c r="G335" s="24"/>
      <c r="H335" s="35"/>
    </row>
    <row r="336" spans="1:8" ht="12.75" customHeight="1">
      <c r="A336" s="22">
        <v>43906</v>
      </c>
      <c r="B336" s="22"/>
      <c r="C336" s="25">
        <f>ROUND(1.24702431,4)</f>
        <v>1.247</v>
      </c>
      <c r="D336" s="25">
        <f>F336</f>
        <v>1.3595</v>
      </c>
      <c r="E336" s="25">
        <f>F336</f>
        <v>1.3595</v>
      </c>
      <c r="F336" s="25">
        <f>ROUND(1.3595,4)</f>
        <v>1.3595</v>
      </c>
      <c r="G336" s="24"/>
      <c r="H336" s="35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ROUND(9.3659890539484,4)</f>
        <v>9.366</v>
      </c>
      <c r="D338" s="25">
        <f>F338</f>
        <v>9.4682</v>
      </c>
      <c r="E338" s="25">
        <f>F338</f>
        <v>9.4682</v>
      </c>
      <c r="F338" s="25">
        <f>ROUND(9.4682,4)</f>
        <v>9.4682</v>
      </c>
      <c r="G338" s="24"/>
      <c r="H338" s="35"/>
    </row>
    <row r="339" spans="1:8" ht="12.75" customHeight="1">
      <c r="A339" s="22">
        <v>43360</v>
      </c>
      <c r="B339" s="22"/>
      <c r="C339" s="25">
        <f>ROUND(9.3659890539484,4)</f>
        <v>9.366</v>
      </c>
      <c r="D339" s="25">
        <f>F339</f>
        <v>9.5948</v>
      </c>
      <c r="E339" s="25">
        <f>F339</f>
        <v>9.5948</v>
      </c>
      <c r="F339" s="25">
        <f>ROUND(9.5948,4)</f>
        <v>9.5948</v>
      </c>
      <c r="G339" s="24"/>
      <c r="H339" s="35"/>
    </row>
    <row r="340" spans="1:8" ht="12.75" customHeight="1">
      <c r="A340" s="22">
        <v>43448</v>
      </c>
      <c r="B340" s="22"/>
      <c r="C340" s="25">
        <f>ROUND(9.3659890539484,4)</f>
        <v>9.366</v>
      </c>
      <c r="D340" s="25">
        <f>F340</f>
        <v>9.7158</v>
      </c>
      <c r="E340" s="25">
        <f>F340</f>
        <v>9.7158</v>
      </c>
      <c r="F340" s="25">
        <f>ROUND(9.7158,4)</f>
        <v>9.7158</v>
      </c>
      <c r="G340" s="24"/>
      <c r="H340" s="35"/>
    </row>
    <row r="341" spans="1:8" ht="12.75" customHeight="1">
      <c r="A341" s="22">
        <v>43542</v>
      </c>
      <c r="B341" s="22"/>
      <c r="C341" s="25">
        <f>ROUND(9.3659890539484,4)</f>
        <v>9.366</v>
      </c>
      <c r="D341" s="25">
        <f>F341</f>
        <v>9.7312</v>
      </c>
      <c r="E341" s="25">
        <f>F341</f>
        <v>9.7312</v>
      </c>
      <c r="F341" s="25">
        <f>ROUND(9.7312,4)</f>
        <v>9.7312</v>
      </c>
      <c r="G341" s="24"/>
      <c r="H341" s="35"/>
    </row>
    <row r="342" spans="1:8" ht="12.75" customHeight="1">
      <c r="A342" s="22">
        <v>43630</v>
      </c>
      <c r="B342" s="22"/>
      <c r="C342" s="25">
        <f>ROUND(9.3659890539484,4)</f>
        <v>9.366</v>
      </c>
      <c r="D342" s="25">
        <f>F342</f>
        <v>9.8575</v>
      </c>
      <c r="E342" s="25">
        <f>F342</f>
        <v>9.8575</v>
      </c>
      <c r="F342" s="25">
        <f>ROUND(9.8575,4)</f>
        <v>9.8575</v>
      </c>
      <c r="G342" s="24"/>
      <c r="H342" s="35"/>
    </row>
    <row r="343" spans="1:8" ht="12.75" customHeight="1">
      <c r="A343" s="22">
        <v>43724</v>
      </c>
      <c r="B343" s="22"/>
      <c r="C343" s="25">
        <f>ROUND(9.3659890539484,4)</f>
        <v>9.366</v>
      </c>
      <c r="D343" s="25">
        <f>F343</f>
        <v>9.9775</v>
      </c>
      <c r="E343" s="25">
        <f>F343</f>
        <v>9.9775</v>
      </c>
      <c r="F343" s="25">
        <f>ROUND(9.9775,4)</f>
        <v>9.9775</v>
      </c>
      <c r="G343" s="24"/>
      <c r="H343" s="35"/>
    </row>
    <row r="344" spans="1:8" ht="12.75" customHeight="1">
      <c r="A344" s="22">
        <v>43812</v>
      </c>
      <c r="B344" s="22"/>
      <c r="C344" s="25">
        <f>ROUND(9.3659890539484,4)</f>
        <v>9.366</v>
      </c>
      <c r="D344" s="25">
        <f>F344</f>
        <v>10.104</v>
      </c>
      <c r="E344" s="25">
        <f>F344</f>
        <v>10.104</v>
      </c>
      <c r="F344" s="25">
        <f>ROUND(10.104,4)</f>
        <v>10.104</v>
      </c>
      <c r="G344" s="24"/>
      <c r="H344" s="35"/>
    </row>
    <row r="345" spans="1:8" ht="12.75" customHeight="1">
      <c r="A345" s="22">
        <v>43906</v>
      </c>
      <c r="B345" s="22"/>
      <c r="C345" s="25">
        <f>ROUND(9.3659890539484,4)</f>
        <v>9.366</v>
      </c>
      <c r="D345" s="25">
        <f>F345</f>
        <v>10.2241</v>
      </c>
      <c r="E345" s="25">
        <f>F345</f>
        <v>10.2241</v>
      </c>
      <c r="F345" s="25">
        <f>ROUND(10.2241,4)</f>
        <v>10.2241</v>
      </c>
      <c r="G345" s="24"/>
      <c r="H345" s="35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43269</v>
      </c>
      <c r="B347" s="22"/>
      <c r="C347" s="25">
        <f>ROUND(1.91887539368361,4)</f>
        <v>1.9189</v>
      </c>
      <c r="D347" s="25">
        <f>F347</f>
        <v>1.9138</v>
      </c>
      <c r="E347" s="25">
        <f>F347</f>
        <v>1.9138</v>
      </c>
      <c r="F347" s="25">
        <f>ROUND(1.9138,4)</f>
        <v>1.9138</v>
      </c>
      <c r="G347" s="24"/>
      <c r="H347" s="35"/>
    </row>
    <row r="348" spans="1:8" ht="12.75" customHeight="1">
      <c r="A348" s="22">
        <v>43360</v>
      </c>
      <c r="B348" s="22"/>
      <c r="C348" s="25">
        <f>ROUND(1.91887539368361,4)</f>
        <v>1.9189</v>
      </c>
      <c r="D348" s="25">
        <f>F348</f>
        <v>1.9296</v>
      </c>
      <c r="E348" s="25">
        <f>F348</f>
        <v>1.9296</v>
      </c>
      <c r="F348" s="25">
        <f>ROUND(1.9296,4)</f>
        <v>1.9296</v>
      </c>
      <c r="G348" s="24"/>
      <c r="H348" s="35"/>
    </row>
    <row r="349" spans="1:8" ht="12.75" customHeight="1">
      <c r="A349" s="22">
        <v>43448</v>
      </c>
      <c r="B349" s="22"/>
      <c r="C349" s="25">
        <f>ROUND(1.91887539368361,4)</f>
        <v>1.9189</v>
      </c>
      <c r="D349" s="25">
        <f>F349</f>
        <v>1.9451</v>
      </c>
      <c r="E349" s="25">
        <f>F349</f>
        <v>1.9451</v>
      </c>
      <c r="F349" s="25">
        <f>ROUND(1.9451,4)</f>
        <v>1.9451</v>
      </c>
      <c r="G349" s="24"/>
      <c r="H349" s="35"/>
    </row>
    <row r="350" spans="1:8" ht="12.75" customHeight="1">
      <c r="A350" s="22">
        <v>43542</v>
      </c>
      <c r="B350" s="22"/>
      <c r="C350" s="25">
        <f>ROUND(1.91887539368361,4)</f>
        <v>1.9189</v>
      </c>
      <c r="D350" s="25">
        <f>F350</f>
        <v>1.9612</v>
      </c>
      <c r="E350" s="25">
        <f>F350</f>
        <v>1.9612</v>
      </c>
      <c r="F350" s="25">
        <f>ROUND(1.9612,4)</f>
        <v>1.9612</v>
      </c>
      <c r="G350" s="24"/>
      <c r="H350" s="35"/>
    </row>
    <row r="351" spans="1:8" ht="12.75" customHeight="1">
      <c r="A351" s="22">
        <v>43630</v>
      </c>
      <c r="B351" s="22"/>
      <c r="C351" s="25">
        <f>ROUND(1.91887539368361,4)</f>
        <v>1.9189</v>
      </c>
      <c r="D351" s="25">
        <f>F351</f>
        <v>1.9762</v>
      </c>
      <c r="E351" s="25">
        <f>F351</f>
        <v>1.9762</v>
      </c>
      <c r="F351" s="25">
        <f>ROUND(1.9762,4)</f>
        <v>1.9762</v>
      </c>
      <c r="G351" s="24"/>
      <c r="H351" s="35"/>
    </row>
    <row r="352" spans="1:8" ht="12.75" customHeight="1">
      <c r="A352" s="22">
        <v>43724</v>
      </c>
      <c r="B352" s="22"/>
      <c r="C352" s="25">
        <f>ROUND(1.91887539368361,4)</f>
        <v>1.9189</v>
      </c>
      <c r="D352" s="25">
        <f>F352</f>
        <v>1.9922</v>
      </c>
      <c r="E352" s="25">
        <f>F352</f>
        <v>1.9922</v>
      </c>
      <c r="F352" s="25">
        <f>ROUND(1.9922,4)</f>
        <v>1.9922</v>
      </c>
      <c r="G352" s="24"/>
      <c r="H352" s="35"/>
    </row>
    <row r="353" spans="1:8" ht="12.75" customHeight="1">
      <c r="A353" s="22">
        <v>43812</v>
      </c>
      <c r="B353" s="22"/>
      <c r="C353" s="25">
        <f>ROUND(1.91887539368361,4)</f>
        <v>1.9189</v>
      </c>
      <c r="D353" s="25">
        <f>F353</f>
        <v>2.0072</v>
      </c>
      <c r="E353" s="25">
        <f>F353</f>
        <v>2.0072</v>
      </c>
      <c r="F353" s="25">
        <f>ROUND(2.0072,4)</f>
        <v>2.0072</v>
      </c>
      <c r="G353" s="24"/>
      <c r="H353" s="35"/>
    </row>
    <row r="354" spans="1:8" ht="12.75" customHeight="1">
      <c r="A354" s="22">
        <v>43906</v>
      </c>
      <c r="B354" s="22"/>
      <c r="C354" s="25">
        <f>ROUND(1.91887539368361,4)</f>
        <v>1.9189</v>
      </c>
      <c r="D354" s="25">
        <f>F354</f>
        <v>2.023</v>
      </c>
      <c r="E354" s="25">
        <f>F354</f>
        <v>2.023</v>
      </c>
      <c r="F354" s="25">
        <f>ROUND(2.023,4)</f>
        <v>2.023</v>
      </c>
      <c r="G354" s="24"/>
      <c r="H354" s="35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5"/>
    </row>
    <row r="356" spans="1:8" ht="12.75" customHeight="1">
      <c r="A356" s="22">
        <v>43269</v>
      </c>
      <c r="B356" s="22"/>
      <c r="C356" s="25">
        <f>ROUND(1.96685001231426,4)</f>
        <v>1.9669</v>
      </c>
      <c r="D356" s="25">
        <f>F356</f>
        <v>2.0224</v>
      </c>
      <c r="E356" s="25">
        <f>F356</f>
        <v>2.0224</v>
      </c>
      <c r="F356" s="25">
        <f>ROUND(2.0224,4)</f>
        <v>2.0224</v>
      </c>
      <c r="G356" s="24"/>
      <c r="H356" s="35"/>
    </row>
    <row r="357" spans="1:8" ht="12.75" customHeight="1">
      <c r="A357" s="22">
        <v>43360</v>
      </c>
      <c r="B357" s="22"/>
      <c r="C357" s="25">
        <f>ROUND(1.96685001231426,4)</f>
        <v>1.9669</v>
      </c>
      <c r="D357" s="25">
        <f>F357</f>
        <v>2.063</v>
      </c>
      <c r="E357" s="25">
        <f>F357</f>
        <v>2.063</v>
      </c>
      <c r="F357" s="25">
        <f>ROUND(2.063,4)</f>
        <v>2.063</v>
      </c>
      <c r="G357" s="24"/>
      <c r="H357" s="35"/>
    </row>
    <row r="358" spans="1:8" ht="12.75" customHeight="1">
      <c r="A358" s="22">
        <v>43448</v>
      </c>
      <c r="B358" s="22"/>
      <c r="C358" s="25">
        <f>ROUND(1.96685001231426,4)</f>
        <v>1.9669</v>
      </c>
      <c r="D358" s="25">
        <f>F358</f>
        <v>2.0988</v>
      </c>
      <c r="E358" s="25">
        <f>F358</f>
        <v>2.0988</v>
      </c>
      <c r="F358" s="25">
        <f>ROUND(2.0988,4)</f>
        <v>2.0988</v>
      </c>
      <c r="G358" s="24"/>
      <c r="H358" s="35"/>
    </row>
    <row r="359" spans="1:8" ht="12.75" customHeight="1">
      <c r="A359" s="22">
        <v>43542</v>
      </c>
      <c r="B359" s="22"/>
      <c r="C359" s="25">
        <f>ROUND(1.96685001231426,4)</f>
        <v>1.9669</v>
      </c>
      <c r="D359" s="25">
        <f>F359</f>
        <v>2.1399</v>
      </c>
      <c r="E359" s="25">
        <f>F359</f>
        <v>2.1399</v>
      </c>
      <c r="F359" s="25">
        <f>ROUND(2.1399,4)</f>
        <v>2.1399</v>
      </c>
      <c r="G359" s="24"/>
      <c r="H359" s="35"/>
    </row>
    <row r="360" spans="1:8" ht="12.75" customHeight="1">
      <c r="A360" s="22">
        <v>43630</v>
      </c>
      <c r="B360" s="22"/>
      <c r="C360" s="25">
        <f>ROUND(1.96685001231426,4)</f>
        <v>1.9669</v>
      </c>
      <c r="D360" s="25">
        <f>F360</f>
        <v>2.2638</v>
      </c>
      <c r="E360" s="25">
        <f>F360</f>
        <v>2.2638</v>
      </c>
      <c r="F360" s="25">
        <f>ROUND(2.2638,4)</f>
        <v>2.2638</v>
      </c>
      <c r="G360" s="24"/>
      <c r="H360" s="35"/>
    </row>
    <row r="361" spans="1:8" ht="12.75" customHeight="1">
      <c r="A361" s="22">
        <v>43724</v>
      </c>
      <c r="B361" s="22"/>
      <c r="C361" s="25">
        <f>ROUND(1.96685001231426,4)</f>
        <v>1.9669</v>
      </c>
      <c r="D361" s="25">
        <f>F361</f>
        <v>2.3214</v>
      </c>
      <c r="E361" s="25">
        <f>F361</f>
        <v>2.3214</v>
      </c>
      <c r="F361" s="25">
        <f>ROUND(2.3214,4)</f>
        <v>2.3214</v>
      </c>
      <c r="G361" s="24"/>
      <c r="H361" s="35"/>
    </row>
    <row r="362" spans="1:8" ht="12.75" customHeight="1">
      <c r="A362" s="22">
        <v>43812</v>
      </c>
      <c r="B362" s="22"/>
      <c r="C362" s="25">
        <f>ROUND(1.96685001231426,4)</f>
        <v>1.9669</v>
      </c>
      <c r="D362" s="25">
        <f>F362</f>
        <v>2.3815</v>
      </c>
      <c r="E362" s="25">
        <f>F362</f>
        <v>2.3815</v>
      </c>
      <c r="F362" s="25">
        <f>ROUND(2.3815,4)</f>
        <v>2.3815</v>
      </c>
      <c r="G362" s="24"/>
      <c r="H362" s="35"/>
    </row>
    <row r="363" spans="1:8" ht="12.75" customHeight="1">
      <c r="A363" s="22">
        <v>43906</v>
      </c>
      <c r="B363" s="22"/>
      <c r="C363" s="25">
        <f>ROUND(1.96685001231426,4)</f>
        <v>1.9669</v>
      </c>
      <c r="D363" s="25">
        <f>F363</f>
        <v>2.4444</v>
      </c>
      <c r="E363" s="25">
        <f>F363</f>
        <v>2.4444</v>
      </c>
      <c r="F363" s="25">
        <f>ROUND(2.4444,4)</f>
        <v>2.4444</v>
      </c>
      <c r="G363" s="24"/>
      <c r="H363" s="35"/>
    </row>
    <row r="364" spans="1:8" ht="12.75" customHeight="1">
      <c r="A364" s="22" t="s">
        <v>75</v>
      </c>
      <c r="B364" s="22"/>
      <c r="C364" s="23"/>
      <c r="D364" s="23"/>
      <c r="E364" s="23"/>
      <c r="F364" s="23"/>
      <c r="G364" s="24"/>
      <c r="H364" s="35"/>
    </row>
    <row r="365" spans="1:8" ht="12.75" customHeight="1">
      <c r="A365" s="22">
        <v>43269</v>
      </c>
      <c r="B365" s="22"/>
      <c r="C365" s="25">
        <f>ROUND(14.6482431316667,4)</f>
        <v>14.6482</v>
      </c>
      <c r="D365" s="25">
        <f>F365</f>
        <v>14.8652</v>
      </c>
      <c r="E365" s="25">
        <f>F365</f>
        <v>14.8652</v>
      </c>
      <c r="F365" s="25">
        <f>ROUND(14.8652,4)</f>
        <v>14.8652</v>
      </c>
      <c r="G365" s="24"/>
      <c r="H365" s="35"/>
    </row>
    <row r="366" spans="1:8" ht="12.75" customHeight="1">
      <c r="A366" s="22">
        <v>43360</v>
      </c>
      <c r="B366" s="22"/>
      <c r="C366" s="25">
        <f>ROUND(14.6482431316667,4)</f>
        <v>14.6482</v>
      </c>
      <c r="D366" s="25">
        <f>F366</f>
        <v>15.1472</v>
      </c>
      <c r="E366" s="25">
        <f>F366</f>
        <v>15.1472</v>
      </c>
      <c r="F366" s="25">
        <f>ROUND(15.1472,4)</f>
        <v>15.1472</v>
      </c>
      <c r="G366" s="24"/>
      <c r="H366" s="35"/>
    </row>
    <row r="367" spans="1:8" ht="12.75" customHeight="1">
      <c r="A367" s="22">
        <v>43448</v>
      </c>
      <c r="B367" s="22"/>
      <c r="C367" s="25">
        <f>ROUND(14.6482431316667,4)</f>
        <v>14.6482</v>
      </c>
      <c r="D367" s="25">
        <f>F367</f>
        <v>15.4285</v>
      </c>
      <c r="E367" s="25">
        <f>F367</f>
        <v>15.4285</v>
      </c>
      <c r="F367" s="25">
        <f>ROUND(15.4285,4)</f>
        <v>15.4285</v>
      </c>
      <c r="G367" s="24"/>
      <c r="H367" s="35"/>
    </row>
    <row r="368" spans="1:8" ht="12.75" customHeight="1">
      <c r="A368" s="22">
        <v>43542</v>
      </c>
      <c r="B368" s="22"/>
      <c r="C368" s="25">
        <f>ROUND(14.6482431316667,4)</f>
        <v>14.6482</v>
      </c>
      <c r="D368" s="25">
        <f>F368</f>
        <v>15.7392</v>
      </c>
      <c r="E368" s="25">
        <f>F368</f>
        <v>15.7392</v>
      </c>
      <c r="F368" s="25">
        <f>ROUND(15.7392,4)</f>
        <v>15.7392</v>
      </c>
      <c r="G368" s="24"/>
      <c r="H368" s="35"/>
    </row>
    <row r="369" spans="1:8" ht="12.75" customHeight="1">
      <c r="A369" s="22">
        <v>43630</v>
      </c>
      <c r="B369" s="22"/>
      <c r="C369" s="25">
        <f>ROUND(14.6482431316667,4)</f>
        <v>14.6482</v>
      </c>
      <c r="D369" s="25">
        <f>F369</f>
        <v>15.9878</v>
      </c>
      <c r="E369" s="25">
        <f>F369</f>
        <v>15.9878</v>
      </c>
      <c r="F369" s="25">
        <f>ROUND(15.9878,4)</f>
        <v>15.9878</v>
      </c>
      <c r="G369" s="24"/>
      <c r="H369" s="35"/>
    </row>
    <row r="370" spans="1:8" ht="12.75" customHeight="1">
      <c r="A370" s="22">
        <v>43724</v>
      </c>
      <c r="B370" s="22"/>
      <c r="C370" s="25">
        <f>ROUND(14.6482431316667,4)</f>
        <v>14.6482</v>
      </c>
      <c r="D370" s="25">
        <f>F370</f>
        <v>16.3355</v>
      </c>
      <c r="E370" s="25">
        <f>F370</f>
        <v>16.3355</v>
      </c>
      <c r="F370" s="25">
        <f>ROUND(16.3355,4)</f>
        <v>16.3355</v>
      </c>
      <c r="G370" s="24"/>
      <c r="H370" s="35"/>
    </row>
    <row r="371" spans="1:8" ht="12.75" customHeight="1">
      <c r="A371" s="22">
        <v>43812</v>
      </c>
      <c r="B371" s="22"/>
      <c r="C371" s="25">
        <f>ROUND(14.6482431316667,4)</f>
        <v>14.6482</v>
      </c>
      <c r="D371" s="25">
        <f>F371</f>
        <v>16.6981</v>
      </c>
      <c r="E371" s="25">
        <f>F371</f>
        <v>16.6981</v>
      </c>
      <c r="F371" s="25">
        <f>ROUND(16.6981,4)</f>
        <v>16.6981</v>
      </c>
      <c r="G371" s="24"/>
      <c r="H371" s="35"/>
    </row>
    <row r="372" spans="1:8" ht="12.75" customHeight="1">
      <c r="A372" s="22">
        <v>43906</v>
      </c>
      <c r="B372" s="22"/>
      <c r="C372" s="25">
        <f>ROUND(14.6482431316667,4)</f>
        <v>14.6482</v>
      </c>
      <c r="D372" s="25">
        <f>F372</f>
        <v>17.0898</v>
      </c>
      <c r="E372" s="25">
        <f>F372</f>
        <v>17.0898</v>
      </c>
      <c r="F372" s="25">
        <f>ROUND(17.0898,4)</f>
        <v>17.0898</v>
      </c>
      <c r="G372" s="24"/>
      <c r="H372" s="35"/>
    </row>
    <row r="373" spans="1:8" ht="12.75" customHeight="1">
      <c r="A373" s="22" t="s">
        <v>76</v>
      </c>
      <c r="B373" s="22"/>
      <c r="C373" s="23"/>
      <c r="D373" s="23"/>
      <c r="E373" s="23"/>
      <c r="F373" s="23"/>
      <c r="G373" s="24"/>
      <c r="H373" s="35"/>
    </row>
    <row r="374" spans="1:8" ht="12.75" customHeight="1">
      <c r="A374" s="22">
        <v>43269</v>
      </c>
      <c r="B374" s="22"/>
      <c r="C374" s="25">
        <f>ROUND(12.438064583117,4)</f>
        <v>12.4381</v>
      </c>
      <c r="D374" s="25">
        <f>F374</f>
        <v>12.6313</v>
      </c>
      <c r="E374" s="25">
        <f>F374</f>
        <v>12.6313</v>
      </c>
      <c r="F374" s="25">
        <f>ROUND(12.6313,4)</f>
        <v>12.6313</v>
      </c>
      <c r="G374" s="24"/>
      <c r="H374" s="35"/>
    </row>
    <row r="375" spans="1:8" ht="12.75" customHeight="1">
      <c r="A375" s="22">
        <v>43360</v>
      </c>
      <c r="B375" s="22"/>
      <c r="C375" s="25">
        <f>ROUND(12.438064583117,4)</f>
        <v>12.4381</v>
      </c>
      <c r="D375" s="25">
        <f>F375</f>
        <v>12.8833</v>
      </c>
      <c r="E375" s="25">
        <f>F375</f>
        <v>12.8833</v>
      </c>
      <c r="F375" s="25">
        <f>ROUND(12.8833,4)</f>
        <v>12.8833</v>
      </c>
      <c r="G375" s="24"/>
      <c r="H375" s="35"/>
    </row>
    <row r="376" spans="1:8" ht="12.75" customHeight="1">
      <c r="A376" s="22">
        <v>43448</v>
      </c>
      <c r="B376" s="22"/>
      <c r="C376" s="25">
        <f>ROUND(12.438064583117,4)</f>
        <v>12.4381</v>
      </c>
      <c r="D376" s="25">
        <f>F376</f>
        <v>13.1351</v>
      </c>
      <c r="E376" s="25">
        <f>F376</f>
        <v>13.1351</v>
      </c>
      <c r="F376" s="25">
        <f>ROUND(13.1351,4)</f>
        <v>13.1351</v>
      </c>
      <c r="G376" s="24"/>
      <c r="H376" s="35"/>
    </row>
    <row r="377" spans="1:8" ht="12.75" customHeight="1">
      <c r="A377" s="22">
        <v>43542</v>
      </c>
      <c r="B377" s="22"/>
      <c r="C377" s="25">
        <f>ROUND(12.438064583117,4)</f>
        <v>12.4381</v>
      </c>
      <c r="D377" s="25">
        <f>F377</f>
        <v>13.4137</v>
      </c>
      <c r="E377" s="25">
        <f>F377</f>
        <v>13.4137</v>
      </c>
      <c r="F377" s="25">
        <f>ROUND(13.4137,4)</f>
        <v>13.4137</v>
      </c>
      <c r="G377" s="24"/>
      <c r="H377" s="35"/>
    </row>
    <row r="378" spans="1:8" ht="12.75" customHeight="1">
      <c r="A378" s="22">
        <v>43630</v>
      </c>
      <c r="B378" s="22"/>
      <c r="C378" s="25">
        <f>ROUND(12.438064583117,4)</f>
        <v>12.4381</v>
      </c>
      <c r="D378" s="25">
        <f>F378</f>
        <v>13.6308</v>
      </c>
      <c r="E378" s="25">
        <f>F378</f>
        <v>13.6308</v>
      </c>
      <c r="F378" s="25">
        <f>ROUND(13.6308,4)</f>
        <v>13.6308</v>
      </c>
      <c r="G378" s="24"/>
      <c r="H378" s="35"/>
    </row>
    <row r="379" spans="1:8" ht="12.75" customHeight="1">
      <c r="A379" s="22">
        <v>43724</v>
      </c>
      <c r="B379" s="22"/>
      <c r="C379" s="25">
        <f>ROUND(12.438064583117,4)</f>
        <v>12.4381</v>
      </c>
      <c r="D379" s="25">
        <f>F379</f>
        <v>14.1517</v>
      </c>
      <c r="E379" s="25">
        <f>F379</f>
        <v>14.1517</v>
      </c>
      <c r="F379" s="25">
        <f>ROUND(14.1517,4)</f>
        <v>14.1517</v>
      </c>
      <c r="G379" s="24"/>
      <c r="H379" s="35"/>
    </row>
    <row r="380" spans="1:8" ht="12.75" customHeight="1">
      <c r="A380" s="22">
        <v>43812</v>
      </c>
      <c r="B380" s="22"/>
      <c r="C380" s="25">
        <f>ROUND(12.438064583117,4)</f>
        <v>12.4381</v>
      </c>
      <c r="D380" s="25">
        <f>F380</f>
        <v>14.3764</v>
      </c>
      <c r="E380" s="25">
        <f>F380</f>
        <v>14.3764</v>
      </c>
      <c r="F380" s="25">
        <f>ROUND(14.3764,4)</f>
        <v>14.3764</v>
      </c>
      <c r="G380" s="24"/>
      <c r="H380" s="35"/>
    </row>
    <row r="381" spans="1:8" ht="12.75" customHeight="1">
      <c r="A381" s="22">
        <v>43906</v>
      </c>
      <c r="B381" s="22"/>
      <c r="C381" s="25">
        <f>ROUND(12.438064583117,4)</f>
        <v>12.4381</v>
      </c>
      <c r="D381" s="25">
        <f>F381</f>
        <v>14.6258</v>
      </c>
      <c r="E381" s="25">
        <f>F381</f>
        <v>14.6258</v>
      </c>
      <c r="F381" s="25">
        <f>ROUND(14.6258,4)</f>
        <v>14.6258</v>
      </c>
      <c r="G381" s="24"/>
      <c r="H381" s="35"/>
    </row>
    <row r="382" spans="1:8" ht="12.75" customHeight="1">
      <c r="A382" s="22" t="s">
        <v>77</v>
      </c>
      <c r="B382" s="22"/>
      <c r="C382" s="23"/>
      <c r="D382" s="23"/>
      <c r="E382" s="23"/>
      <c r="F382" s="23"/>
      <c r="G382" s="24"/>
      <c r="H382" s="35"/>
    </row>
    <row r="383" spans="1:8" ht="12.75" customHeight="1">
      <c r="A383" s="22">
        <v>43269</v>
      </c>
      <c r="B383" s="22"/>
      <c r="C383" s="25">
        <f>ROUND(16.76999130625,4)</f>
        <v>16.77</v>
      </c>
      <c r="D383" s="25">
        <f>F383</f>
        <v>16.9811</v>
      </c>
      <c r="E383" s="25">
        <f>F383</f>
        <v>16.9811</v>
      </c>
      <c r="F383" s="25">
        <f>ROUND(16.9811,4)</f>
        <v>16.9811</v>
      </c>
      <c r="G383" s="24"/>
      <c r="H383" s="35"/>
    </row>
    <row r="384" spans="1:8" ht="12.75" customHeight="1">
      <c r="A384" s="22">
        <v>43360</v>
      </c>
      <c r="B384" s="22"/>
      <c r="C384" s="25">
        <f>ROUND(16.76999130625,4)</f>
        <v>16.77</v>
      </c>
      <c r="D384" s="25">
        <f>F384</f>
        <v>17.2459</v>
      </c>
      <c r="E384" s="25">
        <f>F384</f>
        <v>17.2459</v>
      </c>
      <c r="F384" s="25">
        <f>ROUND(17.2459,4)</f>
        <v>17.2459</v>
      </c>
      <c r="G384" s="24"/>
      <c r="H384" s="35"/>
    </row>
    <row r="385" spans="1:8" ht="12.75" customHeight="1">
      <c r="A385" s="22">
        <v>43448</v>
      </c>
      <c r="B385" s="22"/>
      <c r="C385" s="25">
        <f>ROUND(16.76999130625,4)</f>
        <v>16.77</v>
      </c>
      <c r="D385" s="25">
        <f>F385</f>
        <v>17.5047</v>
      </c>
      <c r="E385" s="25">
        <f>F385</f>
        <v>17.5047</v>
      </c>
      <c r="F385" s="25">
        <f>ROUND(17.5047,4)</f>
        <v>17.5047</v>
      </c>
      <c r="G385" s="24"/>
      <c r="H385" s="35"/>
    </row>
    <row r="386" spans="1:8" ht="12.75" customHeight="1">
      <c r="A386" s="22">
        <v>43542</v>
      </c>
      <c r="B386" s="22"/>
      <c r="C386" s="25">
        <f>ROUND(16.76999130625,4)</f>
        <v>16.77</v>
      </c>
      <c r="D386" s="25">
        <f>F386</f>
        <v>17.783</v>
      </c>
      <c r="E386" s="25">
        <f>F386</f>
        <v>17.783</v>
      </c>
      <c r="F386" s="25">
        <f>ROUND(17.783,4)</f>
        <v>17.783</v>
      </c>
      <c r="G386" s="24"/>
      <c r="H386" s="35"/>
    </row>
    <row r="387" spans="1:8" ht="12.75" customHeight="1">
      <c r="A387" s="22">
        <v>43630</v>
      </c>
      <c r="B387" s="22"/>
      <c r="C387" s="25">
        <f>ROUND(16.76999130625,4)</f>
        <v>16.77</v>
      </c>
      <c r="D387" s="25">
        <f>F387</f>
        <v>18.0466</v>
      </c>
      <c r="E387" s="25">
        <f>F387</f>
        <v>18.0466</v>
      </c>
      <c r="F387" s="25">
        <f>ROUND(18.0466,4)</f>
        <v>18.0466</v>
      </c>
      <c r="G387" s="24"/>
      <c r="H387" s="35"/>
    </row>
    <row r="388" spans="1:8" ht="12.75" customHeight="1">
      <c r="A388" s="22">
        <v>43724</v>
      </c>
      <c r="B388" s="22"/>
      <c r="C388" s="25">
        <f>ROUND(16.76999130625,4)</f>
        <v>16.77</v>
      </c>
      <c r="D388" s="25">
        <f>F388</f>
        <v>18.3275</v>
      </c>
      <c r="E388" s="25">
        <f>F388</f>
        <v>18.3275</v>
      </c>
      <c r="F388" s="25">
        <f>ROUND(18.3275,4)</f>
        <v>18.3275</v>
      </c>
      <c r="G388" s="24"/>
      <c r="H388" s="35"/>
    </row>
    <row r="389" spans="1:8" ht="12.75" customHeight="1">
      <c r="A389" s="22">
        <v>43812</v>
      </c>
      <c r="B389" s="22"/>
      <c r="C389" s="25">
        <f>ROUND(16.76999130625,4)</f>
        <v>16.77</v>
      </c>
      <c r="D389" s="25">
        <f>F389</f>
        <v>18.3975</v>
      </c>
      <c r="E389" s="25">
        <f>F389</f>
        <v>18.3975</v>
      </c>
      <c r="F389" s="25">
        <f>ROUND(18.3975,4)</f>
        <v>18.3975</v>
      </c>
      <c r="G389" s="24"/>
      <c r="H389" s="35"/>
    </row>
    <row r="390" spans="1:8" ht="12.75" customHeight="1">
      <c r="A390" s="22">
        <v>43906</v>
      </c>
      <c r="B390" s="22"/>
      <c r="C390" s="25">
        <f>ROUND(16.76999130625,4)</f>
        <v>16.77</v>
      </c>
      <c r="D390" s="25">
        <f>F390</f>
        <v>18.877</v>
      </c>
      <c r="E390" s="25">
        <f>F390</f>
        <v>18.877</v>
      </c>
      <c r="F390" s="25">
        <f>ROUND(18.877,4)</f>
        <v>18.877</v>
      </c>
      <c r="G390" s="24"/>
      <c r="H390" s="35"/>
    </row>
    <row r="391" spans="1:8" ht="12.75" customHeight="1">
      <c r="A391" s="22" t="s">
        <v>78</v>
      </c>
      <c r="B391" s="22"/>
      <c r="C391" s="23"/>
      <c r="D391" s="23"/>
      <c r="E391" s="23"/>
      <c r="F391" s="23"/>
      <c r="G391" s="24"/>
      <c r="H391" s="35"/>
    </row>
    <row r="392" spans="1:8" ht="12.75" customHeight="1">
      <c r="A392" s="22">
        <v>43269</v>
      </c>
      <c r="B392" s="22"/>
      <c r="C392" s="25">
        <f>ROUND(1.52614581010925,4)</f>
        <v>1.5261</v>
      </c>
      <c r="D392" s="25">
        <f>F392</f>
        <v>1.5444</v>
      </c>
      <c r="E392" s="25">
        <f>F392</f>
        <v>1.5444</v>
      </c>
      <c r="F392" s="25">
        <f>ROUND(1.5444,4)</f>
        <v>1.5444</v>
      </c>
      <c r="G392" s="24"/>
      <c r="H392" s="35"/>
    </row>
    <row r="393" spans="1:8" ht="12.75" customHeight="1">
      <c r="A393" s="22">
        <v>43360</v>
      </c>
      <c r="B393" s="22"/>
      <c r="C393" s="25">
        <f>ROUND(1.52614581010925,4)</f>
        <v>1.5261</v>
      </c>
      <c r="D393" s="25">
        <f>F393</f>
        <v>1.5654</v>
      </c>
      <c r="E393" s="25">
        <f>F393</f>
        <v>1.5654</v>
      </c>
      <c r="F393" s="25">
        <f>ROUND(1.5654,4)</f>
        <v>1.5654</v>
      </c>
      <c r="G393" s="24"/>
      <c r="H393" s="35"/>
    </row>
    <row r="394" spans="1:8" ht="12.75" customHeight="1">
      <c r="A394" s="22">
        <v>43448</v>
      </c>
      <c r="B394" s="22"/>
      <c r="C394" s="25">
        <f>ROUND(1.52614581010925,4)</f>
        <v>1.5261</v>
      </c>
      <c r="D394" s="25">
        <f>F394</f>
        <v>1.5849</v>
      </c>
      <c r="E394" s="25">
        <f>F394</f>
        <v>1.5849</v>
      </c>
      <c r="F394" s="25">
        <f>ROUND(1.5849,4)</f>
        <v>1.5849</v>
      </c>
      <c r="G394" s="24"/>
      <c r="H394" s="35"/>
    </row>
    <row r="395" spans="1:8" ht="12.75" customHeight="1">
      <c r="A395" s="22">
        <v>43542</v>
      </c>
      <c r="B395" s="22"/>
      <c r="C395" s="25">
        <f>ROUND(1.52614581010925,4)</f>
        <v>1.5261</v>
      </c>
      <c r="D395" s="25">
        <f>F395</f>
        <v>1.6047</v>
      </c>
      <c r="E395" s="25">
        <f>F395</f>
        <v>1.6047</v>
      </c>
      <c r="F395" s="25">
        <f>ROUND(1.6047,4)</f>
        <v>1.6047</v>
      </c>
      <c r="G395" s="24"/>
      <c r="H395" s="35"/>
    </row>
    <row r="396" spans="1:8" ht="12.75" customHeight="1">
      <c r="A396" s="22">
        <v>43630</v>
      </c>
      <c r="B396" s="22"/>
      <c r="C396" s="25">
        <f>ROUND(1.52614581010925,4)</f>
        <v>1.5261</v>
      </c>
      <c r="D396" s="25">
        <f>F396</f>
        <v>1.6775</v>
      </c>
      <c r="E396" s="25">
        <f>F396</f>
        <v>1.6775</v>
      </c>
      <c r="F396" s="25">
        <f>ROUND(1.6775,4)</f>
        <v>1.6775</v>
      </c>
      <c r="G396" s="24"/>
      <c r="H396" s="35"/>
    </row>
    <row r="397" spans="1:8" ht="12.75" customHeight="1">
      <c r="A397" s="22">
        <v>43724</v>
      </c>
      <c r="B397" s="22"/>
      <c r="C397" s="25">
        <f>ROUND(1.52614581010925,4)</f>
        <v>1.5261</v>
      </c>
      <c r="D397" s="25">
        <f>F397</f>
        <v>1.6982</v>
      </c>
      <c r="E397" s="25">
        <f>F397</f>
        <v>1.6982</v>
      </c>
      <c r="F397" s="25">
        <f>ROUND(1.6982,4)</f>
        <v>1.6982</v>
      </c>
      <c r="G397" s="24"/>
      <c r="H397" s="35"/>
    </row>
    <row r="398" spans="1:8" ht="12.75" customHeight="1">
      <c r="A398" s="22">
        <v>43812</v>
      </c>
      <c r="B398" s="22"/>
      <c r="C398" s="25">
        <f>ROUND(1.52614581010925,4)</f>
        <v>1.5261</v>
      </c>
      <c r="D398" s="25">
        <f>F398</f>
        <v>1.721</v>
      </c>
      <c r="E398" s="25">
        <f>F398</f>
        <v>1.721</v>
      </c>
      <c r="F398" s="25">
        <f>ROUND(1.721,4)</f>
        <v>1.721</v>
      </c>
      <c r="G398" s="24"/>
      <c r="H398" s="35"/>
    </row>
    <row r="399" spans="1:8" ht="12.75" customHeight="1">
      <c r="A399" s="22">
        <v>43906</v>
      </c>
      <c r="B399" s="22"/>
      <c r="C399" s="25">
        <f>ROUND(1.52614581010925,4)</f>
        <v>1.5261</v>
      </c>
      <c r="D399" s="25">
        <f>F399</f>
        <v>1.7432</v>
      </c>
      <c r="E399" s="25">
        <f>F399</f>
        <v>1.7432</v>
      </c>
      <c r="F399" s="25">
        <f>ROUND(1.7432,4)</f>
        <v>1.7432</v>
      </c>
      <c r="G399" s="24"/>
      <c r="H399" s="35"/>
    </row>
    <row r="400" spans="1:8" ht="12.75" customHeight="1">
      <c r="A400" s="22" t="s">
        <v>79</v>
      </c>
      <c r="B400" s="22"/>
      <c r="C400" s="23"/>
      <c r="D400" s="23"/>
      <c r="E400" s="23"/>
      <c r="F400" s="23"/>
      <c r="G400" s="24"/>
      <c r="H400" s="35"/>
    </row>
    <row r="401" spans="1:8" ht="12.75" customHeight="1">
      <c r="A401" s="22">
        <v>43269</v>
      </c>
      <c r="B401" s="22"/>
      <c r="C401" s="28">
        <f>ROUND(0.111464594770634,6)</f>
        <v>0.111465</v>
      </c>
      <c r="D401" s="28">
        <f>F401</f>
        <v>0.113046</v>
      </c>
      <c r="E401" s="28">
        <f>F401</f>
        <v>0.113046</v>
      </c>
      <c r="F401" s="28">
        <f>ROUND(0.113046,6)</f>
        <v>0.113046</v>
      </c>
      <c r="G401" s="24"/>
      <c r="H401" s="35"/>
    </row>
    <row r="402" spans="1:8" ht="12.75" customHeight="1">
      <c r="A402" s="22">
        <v>43360</v>
      </c>
      <c r="B402" s="22"/>
      <c r="C402" s="28">
        <f>ROUND(0.111464594770634,6)</f>
        <v>0.111465</v>
      </c>
      <c r="D402" s="28">
        <f>F402</f>
        <v>0.115111</v>
      </c>
      <c r="E402" s="28">
        <f>F402</f>
        <v>0.115111</v>
      </c>
      <c r="F402" s="28">
        <f>ROUND(0.115111,6)</f>
        <v>0.115111</v>
      </c>
      <c r="G402" s="24"/>
      <c r="H402" s="35"/>
    </row>
    <row r="403" spans="1:8" ht="12.75" customHeight="1">
      <c r="A403" s="22">
        <v>43448</v>
      </c>
      <c r="B403" s="22"/>
      <c r="C403" s="28">
        <f>ROUND(0.111464594770634,6)</f>
        <v>0.111465</v>
      </c>
      <c r="D403" s="28">
        <f>F403</f>
        <v>0.117183</v>
      </c>
      <c r="E403" s="28">
        <f>F403</f>
        <v>0.117183</v>
      </c>
      <c r="F403" s="28">
        <f>ROUND(0.117183,6)</f>
        <v>0.117183</v>
      </c>
      <c r="G403" s="24"/>
      <c r="H403" s="35"/>
    </row>
    <row r="404" spans="1:8" ht="12.75" customHeight="1">
      <c r="A404" s="22">
        <v>43542</v>
      </c>
      <c r="B404" s="22"/>
      <c r="C404" s="28">
        <f>ROUND(0.111464594770634,6)</f>
        <v>0.111465</v>
      </c>
      <c r="D404" s="28">
        <f>F404</f>
        <v>0.119498</v>
      </c>
      <c r="E404" s="28">
        <f>F404</f>
        <v>0.119498</v>
      </c>
      <c r="F404" s="28">
        <f>ROUND(0.119498,6)</f>
        <v>0.119498</v>
      </c>
      <c r="G404" s="24"/>
      <c r="H404" s="35"/>
    </row>
    <row r="405" spans="1:8" ht="12.75" customHeight="1">
      <c r="A405" s="22">
        <v>43630</v>
      </c>
      <c r="B405" s="22"/>
      <c r="C405" s="28">
        <f>ROUND(0.111464594770634,6)</f>
        <v>0.111465</v>
      </c>
      <c r="D405" s="28">
        <f>F405</f>
        <v>0.121696</v>
      </c>
      <c r="E405" s="28">
        <f>F405</f>
        <v>0.121696</v>
      </c>
      <c r="F405" s="28">
        <f>ROUND(0.121696,6)</f>
        <v>0.121696</v>
      </c>
      <c r="G405" s="24"/>
      <c r="H405" s="35"/>
    </row>
    <row r="406" spans="1:8" ht="12.75" customHeight="1">
      <c r="A406" s="22">
        <v>43724</v>
      </c>
      <c r="B406" s="22"/>
      <c r="C406" s="28">
        <f>ROUND(0.111464594770634,6)</f>
        <v>0.111465</v>
      </c>
      <c r="D406" s="28">
        <f>F406</f>
        <v>0.126788</v>
      </c>
      <c r="E406" s="28">
        <f>F406</f>
        <v>0.126788</v>
      </c>
      <c r="F406" s="28">
        <f>ROUND(0.126788,6)</f>
        <v>0.126788</v>
      </c>
      <c r="G406" s="24"/>
      <c r="H406" s="35"/>
    </row>
    <row r="407" spans="1:8" ht="12.75" customHeight="1">
      <c r="A407" s="22">
        <v>43812</v>
      </c>
      <c r="B407" s="22"/>
      <c r="C407" s="28">
        <f>ROUND(0.111464594770634,6)</f>
        <v>0.111465</v>
      </c>
      <c r="D407" s="28">
        <f>F407</f>
        <v>0.128522</v>
      </c>
      <c r="E407" s="28">
        <f>F407</f>
        <v>0.128522</v>
      </c>
      <c r="F407" s="28">
        <f>ROUND(0.128522,6)</f>
        <v>0.128522</v>
      </c>
      <c r="G407" s="24"/>
      <c r="H407" s="35"/>
    </row>
    <row r="408" spans="1:8" ht="12.75" customHeight="1">
      <c r="A408" s="22">
        <v>43906</v>
      </c>
      <c r="B408" s="22"/>
      <c r="C408" s="28">
        <f>ROUND(0.111464594770634,6)</f>
        <v>0.111465</v>
      </c>
      <c r="D408" s="28">
        <f>F408</f>
        <v>0.130177</v>
      </c>
      <c r="E408" s="28">
        <f>F408</f>
        <v>0.130177</v>
      </c>
      <c r="F408" s="28">
        <f>ROUND(0.130177,6)</f>
        <v>0.130177</v>
      </c>
      <c r="G408" s="24"/>
      <c r="H408" s="35"/>
    </row>
    <row r="409" spans="1:8" ht="12.75" customHeight="1">
      <c r="A409" s="22" t="s">
        <v>80</v>
      </c>
      <c r="B409" s="22"/>
      <c r="C409" s="23"/>
      <c r="D409" s="23"/>
      <c r="E409" s="23"/>
      <c r="F409" s="23"/>
      <c r="G409" s="24"/>
      <c r="H409" s="35"/>
    </row>
    <row r="410" spans="1:8" ht="12.75" customHeight="1">
      <c r="A410" s="22">
        <v>43269</v>
      </c>
      <c r="B410" s="22"/>
      <c r="C410" s="25">
        <f>ROUND(0.118487636003956,4)</f>
        <v>0.1185</v>
      </c>
      <c r="D410" s="25">
        <f>F410</f>
        <v>0.1181</v>
      </c>
      <c r="E410" s="25">
        <f>F410</f>
        <v>0.1181</v>
      </c>
      <c r="F410" s="25">
        <f>ROUND(0.1181,4)</f>
        <v>0.1181</v>
      </c>
      <c r="G410" s="24"/>
      <c r="H410" s="35"/>
    </row>
    <row r="411" spans="1:8" ht="12.75" customHeight="1">
      <c r="A411" s="22">
        <v>43360</v>
      </c>
      <c r="B411" s="22"/>
      <c r="C411" s="25">
        <f>ROUND(0.118487636003956,4)</f>
        <v>0.1185</v>
      </c>
      <c r="D411" s="25">
        <f>F411</f>
        <v>0.1174</v>
      </c>
      <c r="E411" s="25">
        <f>F411</f>
        <v>0.1174</v>
      </c>
      <c r="F411" s="25">
        <f>ROUND(0.1174,4)</f>
        <v>0.1174</v>
      </c>
      <c r="G411" s="24"/>
      <c r="H411" s="35"/>
    </row>
    <row r="412" spans="1:8" ht="12.75" customHeight="1">
      <c r="A412" s="22">
        <v>43448</v>
      </c>
      <c r="B412" s="22"/>
      <c r="C412" s="25">
        <f>ROUND(0.118487636003956,4)</f>
        <v>0.1185</v>
      </c>
      <c r="D412" s="25">
        <f>F412</f>
        <v>0.1165</v>
      </c>
      <c r="E412" s="25">
        <f>F412</f>
        <v>0.1165</v>
      </c>
      <c r="F412" s="25">
        <f>ROUND(0.1165,4)</f>
        <v>0.1165</v>
      </c>
      <c r="G412" s="24"/>
      <c r="H412" s="35"/>
    </row>
    <row r="413" spans="1:8" ht="12.75" customHeight="1">
      <c r="A413" s="22">
        <v>43542</v>
      </c>
      <c r="B413" s="22"/>
      <c r="C413" s="25">
        <f>ROUND(0.118487636003956,4)</f>
        <v>0.1185</v>
      </c>
      <c r="D413" s="25">
        <f>F413</f>
        <v>0.1157</v>
      </c>
      <c r="E413" s="25">
        <f>F413</f>
        <v>0.1157</v>
      </c>
      <c r="F413" s="25">
        <f>ROUND(0.1157,4)</f>
        <v>0.1157</v>
      </c>
      <c r="G413" s="24"/>
      <c r="H413" s="35"/>
    </row>
    <row r="414" spans="1:8" ht="12.75" customHeight="1">
      <c r="A414" s="22">
        <v>43630</v>
      </c>
      <c r="B414" s="22"/>
      <c r="C414" s="25">
        <f>ROUND(0.118487636003956,4)</f>
        <v>0.1185</v>
      </c>
      <c r="D414" s="25">
        <f>F414</f>
        <v>0.1152</v>
      </c>
      <c r="E414" s="25">
        <f>F414</f>
        <v>0.1152</v>
      </c>
      <c r="F414" s="25">
        <f>ROUND(0.1152,4)</f>
        <v>0.1152</v>
      </c>
      <c r="G414" s="24"/>
      <c r="H414" s="35"/>
    </row>
    <row r="415" spans="1:8" ht="12.75" customHeight="1">
      <c r="A415" s="22">
        <v>43724</v>
      </c>
      <c r="B415" s="22"/>
      <c r="C415" s="25">
        <f>ROUND(0.118487636003956,4)</f>
        <v>0.1185</v>
      </c>
      <c r="D415" s="25">
        <f>F415</f>
        <v>0.1146</v>
      </c>
      <c r="E415" s="25">
        <f>F415</f>
        <v>0.1146</v>
      </c>
      <c r="F415" s="25">
        <f>ROUND(0.1146,4)</f>
        <v>0.1146</v>
      </c>
      <c r="G415" s="24"/>
      <c r="H415" s="35"/>
    </row>
    <row r="416" spans="1:8" ht="12.75" customHeight="1">
      <c r="A416" s="22" t="s">
        <v>81</v>
      </c>
      <c r="B416" s="22"/>
      <c r="C416" s="23"/>
      <c r="D416" s="23"/>
      <c r="E416" s="23"/>
      <c r="F416" s="23"/>
      <c r="G416" s="24"/>
      <c r="H416" s="35"/>
    </row>
    <row r="417" spans="1:8" ht="12.75" customHeight="1">
      <c r="A417" s="22">
        <v>43269</v>
      </c>
      <c r="B417" s="22"/>
      <c r="C417" s="25">
        <f>ROUND(1.52818033372455,4)</f>
        <v>1.5282</v>
      </c>
      <c r="D417" s="25">
        <f>F417</f>
        <v>1.5556</v>
      </c>
      <c r="E417" s="25">
        <f>F417</f>
        <v>1.5556</v>
      </c>
      <c r="F417" s="25">
        <f>ROUND(1.5556,4)</f>
        <v>1.5556</v>
      </c>
      <c r="G417" s="24"/>
      <c r="H417" s="35"/>
    </row>
    <row r="418" spans="1:8" ht="12.75" customHeight="1">
      <c r="A418" s="22">
        <v>43360</v>
      </c>
      <c r="B418" s="22"/>
      <c r="C418" s="25">
        <f>ROUND(1.52818033372455,4)</f>
        <v>1.5282</v>
      </c>
      <c r="D418" s="25">
        <f>F418</f>
        <v>1.5798</v>
      </c>
      <c r="E418" s="25">
        <f>F418</f>
        <v>1.5798</v>
      </c>
      <c r="F418" s="25">
        <f>ROUND(1.5798,4)</f>
        <v>1.5798</v>
      </c>
      <c r="G418" s="24"/>
      <c r="H418" s="35"/>
    </row>
    <row r="419" spans="1:8" ht="12.75" customHeight="1">
      <c r="A419" s="22">
        <v>43448</v>
      </c>
      <c r="B419" s="22"/>
      <c r="C419" s="25">
        <f>ROUND(1.52818033372455,4)</f>
        <v>1.5282</v>
      </c>
      <c r="D419" s="25">
        <f>F419</f>
        <v>1.6012</v>
      </c>
      <c r="E419" s="25">
        <f>F419</f>
        <v>1.6012</v>
      </c>
      <c r="F419" s="25">
        <f>ROUND(1.6012,4)</f>
        <v>1.6012</v>
      </c>
      <c r="G419" s="24"/>
      <c r="H419" s="35"/>
    </row>
    <row r="420" spans="1:8" ht="12.75" customHeight="1">
      <c r="A420" s="22">
        <v>43542</v>
      </c>
      <c r="B420" s="22"/>
      <c r="C420" s="25">
        <f>ROUND(1.52818033372455,4)</f>
        <v>1.5282</v>
      </c>
      <c r="D420" s="25">
        <f>F420</f>
        <v>1.6252</v>
      </c>
      <c r="E420" s="25">
        <f>F420</f>
        <v>1.6252</v>
      </c>
      <c r="F420" s="25">
        <f>ROUND(1.6252,4)</f>
        <v>1.6252</v>
      </c>
      <c r="G420" s="24"/>
      <c r="H420" s="35"/>
    </row>
    <row r="421" spans="1:8" ht="12.75" customHeight="1">
      <c r="A421" s="22">
        <v>43630</v>
      </c>
      <c r="B421" s="22"/>
      <c r="C421" s="25">
        <f>ROUND(1.52818033372455,4)</f>
        <v>1.5282</v>
      </c>
      <c r="D421" s="25">
        <f>F421</f>
        <v>1.6515</v>
      </c>
      <c r="E421" s="25">
        <f>F421</f>
        <v>1.6515</v>
      </c>
      <c r="F421" s="25">
        <v>1.6515</v>
      </c>
      <c r="G421" s="24"/>
      <c r="H421" s="35"/>
    </row>
    <row r="422" spans="1:8" ht="12.75" customHeight="1">
      <c r="A422" s="22">
        <v>43724</v>
      </c>
      <c r="B422" s="22"/>
      <c r="C422" s="25">
        <f>ROUND(1.52818033372455,4)</f>
        <v>1.5282</v>
      </c>
      <c r="D422" s="25">
        <f>F422</f>
        <v>1.6801</v>
      </c>
      <c r="E422" s="25">
        <f>F422</f>
        <v>1.6801</v>
      </c>
      <c r="F422" s="25">
        <v>1.6801</v>
      </c>
      <c r="G422" s="24"/>
      <c r="H422" s="35"/>
    </row>
    <row r="423" spans="1:8" ht="12.75" customHeight="1">
      <c r="A423" s="22">
        <v>43812</v>
      </c>
      <c r="B423" s="22"/>
      <c r="C423" s="25">
        <f>ROUND(1.52818033372455,4)</f>
        <v>1.5282</v>
      </c>
      <c r="D423" s="25">
        <f>F423</f>
        <v>1.7071</v>
      </c>
      <c r="E423" s="25">
        <f>F423</f>
        <v>1.7071</v>
      </c>
      <c r="F423" s="25">
        <v>1.7071</v>
      </c>
      <c r="G423" s="24"/>
      <c r="H423" s="35"/>
    </row>
    <row r="424" spans="1:8" ht="12.75" customHeight="1">
      <c r="A424" s="22">
        <v>43906</v>
      </c>
      <c r="B424" s="22"/>
      <c r="C424" s="25">
        <f>ROUND(1.52818033372455,4)</f>
        <v>1.5282</v>
      </c>
      <c r="D424" s="25">
        <f>F424</f>
        <v>1.7363</v>
      </c>
      <c r="E424" s="25">
        <f>F424</f>
        <v>1.7363</v>
      </c>
      <c r="F424" s="25">
        <f>ROUND(1.7363,4)</f>
        <v>1.7363</v>
      </c>
      <c r="G424" s="24"/>
      <c r="H424" s="35"/>
    </row>
    <row r="425" spans="1:8" ht="12.75" customHeight="1">
      <c r="A425" s="22" t="s">
        <v>82</v>
      </c>
      <c r="B425" s="22"/>
      <c r="C425" s="23"/>
      <c r="D425" s="23"/>
      <c r="E425" s="23"/>
      <c r="F425" s="23"/>
      <c r="G425" s="24"/>
      <c r="H425" s="35"/>
    </row>
    <row r="426" spans="1:8" ht="12.75" customHeight="1">
      <c r="A426" s="22">
        <v>43269</v>
      </c>
      <c r="B426" s="22"/>
      <c r="C426" s="25">
        <f>ROUND(8.70760779,4)</f>
        <v>8.7076</v>
      </c>
      <c r="D426" s="25">
        <f>F426</f>
        <v>8.7887</v>
      </c>
      <c r="E426" s="25">
        <f>F426</f>
        <v>8.7887</v>
      </c>
      <c r="F426" s="25">
        <f>ROUND(8.7887,4)</f>
        <v>8.7887</v>
      </c>
      <c r="G426" s="24"/>
      <c r="H426" s="35"/>
    </row>
    <row r="427" spans="1:8" ht="12.75" customHeight="1">
      <c r="A427" s="22">
        <v>43360</v>
      </c>
      <c r="B427" s="22"/>
      <c r="C427" s="25">
        <f>ROUND(8.70760779,4)</f>
        <v>8.7076</v>
      </c>
      <c r="D427" s="25">
        <f>F427</f>
        <v>8.8907</v>
      </c>
      <c r="E427" s="25">
        <f>F427</f>
        <v>8.8907</v>
      </c>
      <c r="F427" s="25">
        <f>ROUND(8.8907,4)</f>
        <v>8.8907</v>
      </c>
      <c r="G427" s="24"/>
      <c r="H427" s="35"/>
    </row>
    <row r="428" spans="1:8" ht="12.75" customHeight="1">
      <c r="A428" s="22">
        <v>43448</v>
      </c>
      <c r="B428" s="22"/>
      <c r="C428" s="25">
        <f>ROUND(8.70760779,4)</f>
        <v>8.7076</v>
      </c>
      <c r="D428" s="25">
        <f>F428</f>
        <v>8.9922</v>
      </c>
      <c r="E428" s="25">
        <f>F428</f>
        <v>8.9922</v>
      </c>
      <c r="F428" s="25">
        <f>ROUND(8.9922,4)</f>
        <v>8.9922</v>
      </c>
      <c r="G428" s="24"/>
      <c r="H428" s="35"/>
    </row>
    <row r="429" spans="1:8" ht="12.75" customHeight="1">
      <c r="A429" s="22">
        <v>43542</v>
      </c>
      <c r="B429" s="22"/>
      <c r="C429" s="25">
        <f>ROUND(8.70760779,4)</f>
        <v>8.7076</v>
      </c>
      <c r="D429" s="25">
        <f>F429</f>
        <v>9.1006</v>
      </c>
      <c r="E429" s="25">
        <f>F429</f>
        <v>9.1006</v>
      </c>
      <c r="F429" s="25">
        <f>ROUND(9.1006,4)</f>
        <v>9.1006</v>
      </c>
      <c r="G429" s="24"/>
      <c r="H429" s="35"/>
    </row>
    <row r="430" spans="1:8" ht="12.75" customHeight="1">
      <c r="A430" s="22">
        <v>43630</v>
      </c>
      <c r="B430" s="22"/>
      <c r="C430" s="25">
        <f>ROUND(8.70760779,4)</f>
        <v>8.7076</v>
      </c>
      <c r="D430" s="25">
        <f>F430</f>
        <v>9.5128</v>
      </c>
      <c r="E430" s="25">
        <f>F430</f>
        <v>9.5128</v>
      </c>
      <c r="F430" s="25">
        <f>ROUND(9.5128,4)</f>
        <v>9.5128</v>
      </c>
      <c r="G430" s="24"/>
      <c r="H430" s="35"/>
    </row>
    <row r="431" spans="1:8" ht="12.75" customHeight="1">
      <c r="A431" s="22">
        <v>43724</v>
      </c>
      <c r="B431" s="22"/>
      <c r="C431" s="25">
        <f>ROUND(8.70760779,4)</f>
        <v>8.7076</v>
      </c>
      <c r="D431" s="25">
        <f>F431</f>
        <v>9.629</v>
      </c>
      <c r="E431" s="25">
        <f>F431</f>
        <v>9.629</v>
      </c>
      <c r="F431" s="25">
        <f>ROUND(9.629,4)</f>
        <v>9.629</v>
      </c>
      <c r="G431" s="24"/>
      <c r="H431" s="35"/>
    </row>
    <row r="432" spans="1:8" ht="12.75" customHeight="1">
      <c r="A432" s="22">
        <v>43812</v>
      </c>
      <c r="B432" s="22"/>
      <c r="C432" s="25">
        <f>ROUND(8.70760779,4)</f>
        <v>8.7076</v>
      </c>
      <c r="D432" s="25">
        <f>F432</f>
        <v>9.7574</v>
      </c>
      <c r="E432" s="25">
        <f>F432</f>
        <v>9.7574</v>
      </c>
      <c r="F432" s="25">
        <f>ROUND(9.7574,4)</f>
        <v>9.7574</v>
      </c>
      <c r="G432" s="24"/>
      <c r="H432" s="35"/>
    </row>
    <row r="433" spans="1:8" ht="12.75" customHeight="1">
      <c r="A433" s="22">
        <v>43906</v>
      </c>
      <c r="B433" s="22"/>
      <c r="C433" s="25">
        <f>ROUND(8.70760779,4)</f>
        <v>8.7076</v>
      </c>
      <c r="D433" s="25">
        <f>F433</f>
        <v>9.8822</v>
      </c>
      <c r="E433" s="25">
        <f>F433</f>
        <v>9.8822</v>
      </c>
      <c r="F433" s="25">
        <f>ROUND(9.8822,4)</f>
        <v>9.8822</v>
      </c>
      <c r="G433" s="24"/>
      <c r="H433" s="35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5"/>
    </row>
    <row r="435" spans="1:8" ht="12.75" customHeight="1">
      <c r="A435" s="22">
        <v>43269</v>
      </c>
      <c r="B435" s="22"/>
      <c r="C435" s="25">
        <f>ROUND(9.09782030834663,4)</f>
        <v>9.0978</v>
      </c>
      <c r="D435" s="25">
        <f>F435</f>
        <v>9.2022</v>
      </c>
      <c r="E435" s="25">
        <f>F435</f>
        <v>9.2022</v>
      </c>
      <c r="F435" s="25">
        <f>ROUND(9.2022,4)</f>
        <v>9.2022</v>
      </c>
      <c r="G435" s="24"/>
      <c r="H435" s="35"/>
    </row>
    <row r="436" spans="1:8" ht="12.75" customHeight="1">
      <c r="A436" s="22">
        <v>43360</v>
      </c>
      <c r="B436" s="22"/>
      <c r="C436" s="25">
        <f>ROUND(9.09782030834663,4)</f>
        <v>9.0978</v>
      </c>
      <c r="D436" s="25">
        <f>F436</f>
        <v>9.3306</v>
      </c>
      <c r="E436" s="25">
        <f>F436</f>
        <v>9.3306</v>
      </c>
      <c r="F436" s="25">
        <f>ROUND(9.3306,4)</f>
        <v>9.3306</v>
      </c>
      <c r="G436" s="24"/>
      <c r="H436" s="35"/>
    </row>
    <row r="437" spans="1:8" ht="12.75" customHeight="1">
      <c r="A437" s="22">
        <v>43448</v>
      </c>
      <c r="B437" s="22"/>
      <c r="C437" s="25">
        <f>ROUND(9.09782030834663,4)</f>
        <v>9.0978</v>
      </c>
      <c r="D437" s="25">
        <f>F437</f>
        <v>9.4536</v>
      </c>
      <c r="E437" s="25">
        <f>F437</f>
        <v>9.4536</v>
      </c>
      <c r="F437" s="25">
        <f>ROUND(9.4536,4)</f>
        <v>9.4536</v>
      </c>
      <c r="G437" s="24"/>
      <c r="H437" s="35"/>
    </row>
    <row r="438" spans="1:8" ht="12.75" customHeight="1">
      <c r="A438" s="22">
        <v>43542</v>
      </c>
      <c r="B438" s="22"/>
      <c r="C438" s="25">
        <f>ROUND(9.09782030834663,4)</f>
        <v>9.0978</v>
      </c>
      <c r="D438" s="25">
        <f>F438</f>
        <v>9.5847</v>
      </c>
      <c r="E438" s="25">
        <f>F438</f>
        <v>9.5847</v>
      </c>
      <c r="F438" s="25">
        <f>ROUND(9.5847,4)</f>
        <v>9.5847</v>
      </c>
      <c r="G438" s="24"/>
      <c r="H438" s="35"/>
    </row>
    <row r="439" spans="1:8" ht="12.75" customHeight="1">
      <c r="A439" s="22">
        <v>43630</v>
      </c>
      <c r="B439" s="22"/>
      <c r="C439" s="25">
        <f>ROUND(9.09782030834663,4)</f>
        <v>9.0978</v>
      </c>
      <c r="D439" s="25">
        <f>F439</f>
        <v>10.0299</v>
      </c>
      <c r="E439" s="25">
        <f>F439</f>
        <v>10.0299</v>
      </c>
      <c r="F439" s="25">
        <f>ROUND(10.0299,4)</f>
        <v>10.0299</v>
      </c>
      <c r="G439" s="24"/>
      <c r="H439" s="35"/>
    </row>
    <row r="440" spans="1:8" ht="12.75" customHeight="1">
      <c r="A440" s="22">
        <v>43724</v>
      </c>
      <c r="B440" s="22"/>
      <c r="C440" s="25">
        <f>ROUND(9.09782030834663,4)</f>
        <v>9.0978</v>
      </c>
      <c r="D440" s="25">
        <f>F440</f>
        <v>10.1626</v>
      </c>
      <c r="E440" s="25">
        <f>F440</f>
        <v>10.1626</v>
      </c>
      <c r="F440" s="25">
        <f>ROUND(10.1626,4)</f>
        <v>10.1626</v>
      </c>
      <c r="G440" s="24"/>
      <c r="H440" s="35"/>
    </row>
    <row r="441" spans="1:8" ht="12.75" customHeight="1">
      <c r="A441" s="22">
        <v>43812</v>
      </c>
      <c r="B441" s="22"/>
      <c r="C441" s="25">
        <f>ROUND(9.09782030834663,4)</f>
        <v>9.0978</v>
      </c>
      <c r="D441" s="25">
        <f>F441</f>
        <v>10.3079</v>
      </c>
      <c r="E441" s="25">
        <f>F441</f>
        <v>10.3079</v>
      </c>
      <c r="F441" s="25">
        <f>ROUND(10.3079,4)</f>
        <v>10.3079</v>
      </c>
      <c r="G441" s="24"/>
      <c r="H441" s="35"/>
    </row>
    <row r="442" spans="1:8" ht="12.75" customHeight="1">
      <c r="A442" s="22">
        <v>43906</v>
      </c>
      <c r="B442" s="22"/>
      <c r="C442" s="25">
        <f>ROUND(9.09782030834663,4)</f>
        <v>9.0978</v>
      </c>
      <c r="D442" s="25">
        <f>F442</f>
        <v>10.4504</v>
      </c>
      <c r="E442" s="25">
        <f>F442</f>
        <v>10.4504</v>
      </c>
      <c r="F442" s="25">
        <f>ROUND(10.4504,4)</f>
        <v>10.4504</v>
      </c>
      <c r="G442" s="24"/>
      <c r="H442" s="35"/>
    </row>
    <row r="443" spans="1:8" ht="12.75" customHeight="1">
      <c r="A443" s="22" t="s">
        <v>84</v>
      </c>
      <c r="B443" s="22"/>
      <c r="C443" s="23"/>
      <c r="D443" s="23"/>
      <c r="E443" s="23"/>
      <c r="F443" s="23"/>
      <c r="G443" s="24"/>
      <c r="H443" s="35"/>
    </row>
    <row r="444" spans="1:8" ht="12.75" customHeight="1">
      <c r="A444" s="22">
        <v>43269</v>
      </c>
      <c r="B444" s="22"/>
      <c r="C444" s="25">
        <f>ROUND(2.96219090009891,4)</f>
        <v>2.9622</v>
      </c>
      <c r="D444" s="25">
        <f>F444</f>
        <v>2.9306</v>
      </c>
      <c r="E444" s="25">
        <f>F444</f>
        <v>2.9306</v>
      </c>
      <c r="F444" s="25">
        <f>ROUND(2.9306,4)</f>
        <v>2.9306</v>
      </c>
      <c r="G444" s="24"/>
      <c r="H444" s="35"/>
    </row>
    <row r="445" spans="1:8" ht="12.75" customHeight="1">
      <c r="A445" s="22">
        <v>43360</v>
      </c>
      <c r="B445" s="22"/>
      <c r="C445" s="25">
        <f>ROUND(2.96219090009891,4)</f>
        <v>2.9622</v>
      </c>
      <c r="D445" s="25">
        <f>F445</f>
        <v>2.8816</v>
      </c>
      <c r="E445" s="25">
        <f>F445</f>
        <v>2.8816</v>
      </c>
      <c r="F445" s="25">
        <f>ROUND(2.8816,4)</f>
        <v>2.8816</v>
      </c>
      <c r="G445" s="24"/>
      <c r="H445" s="35"/>
    </row>
    <row r="446" spans="1:8" ht="12.75" customHeight="1">
      <c r="A446" s="22">
        <v>43448</v>
      </c>
      <c r="B446" s="22"/>
      <c r="C446" s="25">
        <f>ROUND(2.96219090009891,4)</f>
        <v>2.9622</v>
      </c>
      <c r="D446" s="25">
        <f>F446</f>
        <v>2.8339</v>
      </c>
      <c r="E446" s="25">
        <f>F446</f>
        <v>2.8339</v>
      </c>
      <c r="F446" s="25">
        <f>ROUND(2.8339,4)</f>
        <v>2.8339</v>
      </c>
      <c r="G446" s="24"/>
      <c r="H446" s="35"/>
    </row>
    <row r="447" spans="1:8" ht="12.75" customHeight="1">
      <c r="A447" s="22">
        <v>43542</v>
      </c>
      <c r="B447" s="22"/>
      <c r="C447" s="25">
        <f>ROUND(2.96219090009891,4)</f>
        <v>2.9622</v>
      </c>
      <c r="D447" s="25">
        <f>F447</f>
        <v>2.7815</v>
      </c>
      <c r="E447" s="25">
        <f>F447</f>
        <v>2.7815</v>
      </c>
      <c r="F447" s="25">
        <f>ROUND(2.7815,4)</f>
        <v>2.7815</v>
      </c>
      <c r="G447" s="24"/>
      <c r="H447" s="35"/>
    </row>
    <row r="448" spans="1:8" ht="12.75" customHeight="1">
      <c r="A448" s="22">
        <v>43630</v>
      </c>
      <c r="B448" s="22"/>
      <c r="C448" s="25">
        <f>ROUND(2.96219090009891,4)</f>
        <v>2.9622</v>
      </c>
      <c r="D448" s="25">
        <f>F448</f>
        <v>2.8154</v>
      </c>
      <c r="E448" s="25">
        <f>F448</f>
        <v>2.8154</v>
      </c>
      <c r="F448" s="25">
        <f>ROUND(2.8154,4)</f>
        <v>2.8154</v>
      </c>
      <c r="G448" s="24"/>
      <c r="H448" s="35"/>
    </row>
    <row r="449" spans="1:8" ht="12.75" customHeight="1">
      <c r="A449" s="22">
        <v>43724</v>
      </c>
      <c r="B449" s="22"/>
      <c r="C449" s="25">
        <f>ROUND(2.96219090009891,4)</f>
        <v>2.9622</v>
      </c>
      <c r="D449" s="25">
        <f>F449</f>
        <v>2.7564</v>
      </c>
      <c r="E449" s="25">
        <f>F449</f>
        <v>2.7564</v>
      </c>
      <c r="F449" s="25">
        <f>ROUND(2.7564,4)</f>
        <v>2.7564</v>
      </c>
      <c r="G449" s="24"/>
      <c r="H449" s="35"/>
    </row>
    <row r="450" spans="1:8" ht="12.75" customHeight="1">
      <c r="A450" s="22">
        <v>43812</v>
      </c>
      <c r="B450" s="22"/>
      <c r="C450" s="25">
        <f>ROUND(2.96219090009891,4)</f>
        <v>2.9622</v>
      </c>
      <c r="D450" s="25">
        <f>F450</f>
        <v>2.7099</v>
      </c>
      <c r="E450" s="25">
        <f>F450</f>
        <v>2.7099</v>
      </c>
      <c r="F450" s="25">
        <f>ROUND(2.7099,4)</f>
        <v>2.7099</v>
      </c>
      <c r="G450" s="24"/>
      <c r="H450" s="35"/>
    </row>
    <row r="451" spans="1:8" ht="12.75" customHeight="1">
      <c r="A451" s="22">
        <v>43906</v>
      </c>
      <c r="B451" s="22"/>
      <c r="C451" s="25">
        <f>ROUND(2.96219090009891,4)</f>
        <v>2.9622</v>
      </c>
      <c r="D451" s="25">
        <f>F451</f>
        <v>2.6598</v>
      </c>
      <c r="E451" s="25">
        <f>F451</f>
        <v>2.6598</v>
      </c>
      <c r="F451" s="25">
        <f>ROUND(2.6598,4)</f>
        <v>2.6598</v>
      </c>
      <c r="G451" s="24"/>
      <c r="H451" s="35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5"/>
    </row>
    <row r="453" spans="1:8" ht="12.75" customHeight="1">
      <c r="A453" s="22">
        <v>43269</v>
      </c>
      <c r="B453" s="22"/>
      <c r="C453" s="25">
        <f>ROUND(11.9791,4)</f>
        <v>11.9791</v>
      </c>
      <c r="D453" s="25">
        <f>F453</f>
        <v>12.094</v>
      </c>
      <c r="E453" s="25">
        <f>F453</f>
        <v>12.094</v>
      </c>
      <c r="F453" s="25">
        <f>ROUND(12.094,4)</f>
        <v>12.094</v>
      </c>
      <c r="G453" s="24"/>
      <c r="H453" s="35"/>
    </row>
    <row r="454" spans="1:8" ht="12.75" customHeight="1">
      <c r="A454" s="22">
        <v>43360</v>
      </c>
      <c r="B454" s="22"/>
      <c r="C454" s="25">
        <f>ROUND(11.9791,4)</f>
        <v>11.9791</v>
      </c>
      <c r="D454" s="25">
        <f>F454</f>
        <v>12.2339</v>
      </c>
      <c r="E454" s="25">
        <f>F454</f>
        <v>12.2339</v>
      </c>
      <c r="F454" s="25">
        <f>ROUND(12.2339,4)</f>
        <v>12.2339</v>
      </c>
      <c r="G454" s="24"/>
      <c r="H454" s="35"/>
    </row>
    <row r="455" spans="1:8" ht="12.75" customHeight="1">
      <c r="A455" s="22">
        <v>43448</v>
      </c>
      <c r="B455" s="22"/>
      <c r="C455" s="25">
        <f>ROUND(11.9791,4)</f>
        <v>11.9791</v>
      </c>
      <c r="D455" s="25">
        <f>F455</f>
        <v>12.3696</v>
      </c>
      <c r="E455" s="25">
        <f>F455</f>
        <v>12.3696</v>
      </c>
      <c r="F455" s="25">
        <f>ROUND(12.3696,4)</f>
        <v>12.3696</v>
      </c>
      <c r="G455" s="24"/>
      <c r="H455" s="35"/>
    </row>
    <row r="456" spans="1:8" ht="12.75" customHeight="1">
      <c r="A456" s="22">
        <v>43542</v>
      </c>
      <c r="B456" s="22"/>
      <c r="C456" s="25">
        <f>ROUND(11.9791,4)</f>
        <v>11.9791</v>
      </c>
      <c r="D456" s="25">
        <f>F456</f>
        <v>12.5124</v>
      </c>
      <c r="E456" s="25">
        <f>F456</f>
        <v>12.5124</v>
      </c>
      <c r="F456" s="25">
        <f>ROUND(12.5124,4)</f>
        <v>12.5124</v>
      </c>
      <c r="G456" s="24"/>
      <c r="H456" s="35"/>
    </row>
    <row r="457" spans="1:8" ht="12.75" customHeight="1">
      <c r="A457" s="22">
        <v>43630</v>
      </c>
      <c r="B457" s="22"/>
      <c r="C457" s="25">
        <f>ROUND(11.9791,4)</f>
        <v>11.9791</v>
      </c>
      <c r="D457" s="25">
        <f>F457</f>
        <v>12.6472</v>
      </c>
      <c r="E457" s="25">
        <f>F457</f>
        <v>12.6472</v>
      </c>
      <c r="F457" s="25">
        <v>12.6472</v>
      </c>
      <c r="G457" s="24"/>
      <c r="H457" s="35"/>
    </row>
    <row r="458" spans="1:8" ht="12.75" customHeight="1">
      <c r="A458" s="22">
        <v>43724</v>
      </c>
      <c r="B458" s="22"/>
      <c r="C458" s="25">
        <f>ROUND(11.9791,4)</f>
        <v>11.9791</v>
      </c>
      <c r="D458" s="25">
        <f>F458</f>
        <v>12.7919</v>
      </c>
      <c r="E458" s="25">
        <f>F458</f>
        <v>12.7919</v>
      </c>
      <c r="F458" s="25">
        <v>12.7919</v>
      </c>
      <c r="G458" s="24"/>
      <c r="H458" s="35"/>
    </row>
    <row r="459" spans="1:8" ht="12.75" customHeight="1">
      <c r="A459" s="22">
        <v>43812</v>
      </c>
      <c r="B459" s="22"/>
      <c r="C459" s="25">
        <f>ROUND(11.9791,4)</f>
        <v>11.9791</v>
      </c>
      <c r="D459" s="25">
        <f>F459</f>
        <v>12.9274</v>
      </c>
      <c r="E459" s="25">
        <f>F459</f>
        <v>12.9274</v>
      </c>
      <c r="F459" s="25">
        <v>12.9274</v>
      </c>
      <c r="G459" s="24"/>
      <c r="H459" s="35"/>
    </row>
    <row r="460" spans="1:8" ht="12.75" customHeight="1">
      <c r="A460" s="22">
        <v>43906</v>
      </c>
      <c r="B460" s="22"/>
      <c r="C460" s="25">
        <f>ROUND(11.9791,4)</f>
        <v>11.9791</v>
      </c>
      <c r="D460" s="25">
        <f>F460</f>
        <v>13.0721</v>
      </c>
      <c r="E460" s="25">
        <f>F460</f>
        <v>13.0721</v>
      </c>
      <c r="F460" s="25">
        <v>13.0721</v>
      </c>
      <c r="G460" s="24"/>
      <c r="H460" s="35"/>
    </row>
    <row r="461" spans="1:8" ht="12.75" customHeight="1">
      <c r="A461" s="22" t="s">
        <v>86</v>
      </c>
      <c r="B461" s="22"/>
      <c r="C461" s="23"/>
      <c r="D461" s="23"/>
      <c r="E461" s="23"/>
      <c r="F461" s="23"/>
      <c r="G461" s="24"/>
      <c r="H461" s="35"/>
    </row>
    <row r="462" spans="1:8" ht="12.75" customHeight="1">
      <c r="A462" s="22">
        <v>43269</v>
      </c>
      <c r="B462" s="22"/>
      <c r="C462" s="25">
        <f>ROUND(11.9791,4)</f>
        <v>11.9791</v>
      </c>
      <c r="D462" s="25">
        <f>F462</f>
        <v>12.094</v>
      </c>
      <c r="E462" s="25">
        <f>F462</f>
        <v>12.094</v>
      </c>
      <c r="F462" s="25">
        <f>ROUND(12.094,4)</f>
        <v>12.094</v>
      </c>
      <c r="G462" s="24"/>
      <c r="H462" s="35"/>
    </row>
    <row r="463" spans="1:8" ht="12.75" customHeight="1">
      <c r="A463" s="22">
        <v>43360</v>
      </c>
      <c r="B463" s="22"/>
      <c r="C463" s="25">
        <f>ROUND(11.9791,4)</f>
        <v>11.9791</v>
      </c>
      <c r="D463" s="25">
        <f>F463</f>
        <v>12.2339</v>
      </c>
      <c r="E463" s="25">
        <f>F463</f>
        <v>12.2339</v>
      </c>
      <c r="F463" s="25">
        <f>ROUND(12.2339,4)</f>
        <v>12.2339</v>
      </c>
      <c r="G463" s="24"/>
      <c r="H463" s="35"/>
    </row>
    <row r="464" spans="1:8" ht="12.75" customHeight="1">
      <c r="A464" s="22">
        <v>43448</v>
      </c>
      <c r="B464" s="22"/>
      <c r="C464" s="25">
        <f>ROUND(11.9791,4)</f>
        <v>11.9791</v>
      </c>
      <c r="D464" s="25">
        <f>F464</f>
        <v>12.3696</v>
      </c>
      <c r="E464" s="25">
        <f>F464</f>
        <v>12.3696</v>
      </c>
      <c r="F464" s="25">
        <f>ROUND(12.3696,4)</f>
        <v>12.3696</v>
      </c>
      <c r="G464" s="24"/>
      <c r="H464" s="35"/>
    </row>
    <row r="465" spans="1:8" ht="12.75" customHeight="1">
      <c r="A465" s="22">
        <v>43542</v>
      </c>
      <c r="B465" s="22"/>
      <c r="C465" s="25">
        <f>ROUND(11.9791,4)</f>
        <v>11.9791</v>
      </c>
      <c r="D465" s="25">
        <f>F465</f>
        <v>12.5124</v>
      </c>
      <c r="E465" s="25">
        <f>F465</f>
        <v>12.5124</v>
      </c>
      <c r="F465" s="25">
        <f>ROUND(12.5124,4)</f>
        <v>12.5124</v>
      </c>
      <c r="G465" s="24"/>
      <c r="H465" s="35"/>
    </row>
    <row r="466" spans="1:8" ht="12.75" customHeight="1">
      <c r="A466" s="22">
        <v>43630</v>
      </c>
      <c r="B466" s="22"/>
      <c r="C466" s="25">
        <f>ROUND(11.9791,4)</f>
        <v>11.9791</v>
      </c>
      <c r="D466" s="25">
        <f>F466</f>
        <v>12.6472</v>
      </c>
      <c r="E466" s="25">
        <f>F466</f>
        <v>12.6472</v>
      </c>
      <c r="F466" s="25">
        <f>ROUND(12.6472,4)</f>
        <v>12.6472</v>
      </c>
      <c r="G466" s="24"/>
      <c r="H466" s="35"/>
    </row>
    <row r="467" spans="1:8" ht="12.75" customHeight="1">
      <c r="A467" s="22">
        <v>43724</v>
      </c>
      <c r="B467" s="22"/>
      <c r="C467" s="25">
        <f>ROUND(11.9791,4)</f>
        <v>11.9791</v>
      </c>
      <c r="D467" s="25">
        <f>F467</f>
        <v>12.7919</v>
      </c>
      <c r="E467" s="25">
        <f>F467</f>
        <v>12.7919</v>
      </c>
      <c r="F467" s="25">
        <f>ROUND(12.7919,4)</f>
        <v>12.7919</v>
      </c>
      <c r="G467" s="24"/>
      <c r="H467" s="35"/>
    </row>
    <row r="468" spans="1:8" ht="12.75" customHeight="1">
      <c r="A468" s="22">
        <v>43812</v>
      </c>
      <c r="B468" s="22"/>
      <c r="C468" s="25">
        <f>ROUND(11.9791,4)</f>
        <v>11.9791</v>
      </c>
      <c r="D468" s="25">
        <f>F468</f>
        <v>12.9274</v>
      </c>
      <c r="E468" s="25">
        <f>F468</f>
        <v>12.9274</v>
      </c>
      <c r="F468" s="25">
        <f>ROUND(12.9274,4)</f>
        <v>12.9274</v>
      </c>
      <c r="G468" s="24"/>
      <c r="H468" s="35"/>
    </row>
    <row r="469" spans="1:8" ht="12.75" customHeight="1">
      <c r="A469" s="22">
        <v>43906</v>
      </c>
      <c r="B469" s="22"/>
      <c r="C469" s="25">
        <f>ROUND(11.9791,4)</f>
        <v>11.9791</v>
      </c>
      <c r="D469" s="25">
        <f>F469</f>
        <v>13.0721</v>
      </c>
      <c r="E469" s="25">
        <f>F469</f>
        <v>13.0721</v>
      </c>
      <c r="F469" s="25">
        <f>ROUND(13.0721,4)</f>
        <v>13.0721</v>
      </c>
      <c r="G469" s="24"/>
      <c r="H469" s="35"/>
    </row>
    <row r="470" spans="1:8" ht="12.75" customHeight="1">
      <c r="A470" s="22">
        <v>43994</v>
      </c>
      <c r="B470" s="22"/>
      <c r="C470" s="25">
        <f>ROUND(11.9791,4)</f>
        <v>11.9791</v>
      </c>
      <c r="D470" s="25">
        <f>F470</f>
        <v>13.2241</v>
      </c>
      <c r="E470" s="25">
        <f>F470</f>
        <v>13.2241</v>
      </c>
      <c r="F470" s="25">
        <f>ROUND(13.2241,4)</f>
        <v>13.2241</v>
      </c>
      <c r="G470" s="24"/>
      <c r="H470" s="35"/>
    </row>
    <row r="471" spans="1:8" ht="12.75" customHeight="1">
      <c r="A471" s="22">
        <v>44088</v>
      </c>
      <c r="B471" s="22"/>
      <c r="C471" s="25">
        <f>ROUND(11.9791,4)</f>
        <v>11.9791</v>
      </c>
      <c r="D471" s="25">
        <f>F471</f>
        <v>13.3931</v>
      </c>
      <c r="E471" s="25">
        <f>F471</f>
        <v>13.3931</v>
      </c>
      <c r="F471" s="25">
        <f>ROUND(13.3931,4)</f>
        <v>13.3931</v>
      </c>
      <c r="G471" s="24"/>
      <c r="H471" s="35"/>
    </row>
    <row r="472" spans="1:8" ht="12.75" customHeight="1">
      <c r="A472" s="22">
        <v>44179</v>
      </c>
      <c r="B472" s="22"/>
      <c r="C472" s="25">
        <f>ROUND(11.9791,4)</f>
        <v>11.9791</v>
      </c>
      <c r="D472" s="25">
        <f>F472</f>
        <v>13.5566</v>
      </c>
      <c r="E472" s="25">
        <f>F472</f>
        <v>13.5566</v>
      </c>
      <c r="F472" s="25">
        <f>ROUND(13.5566,4)</f>
        <v>13.5566</v>
      </c>
      <c r="G472" s="24"/>
      <c r="H472" s="35"/>
    </row>
    <row r="473" spans="1:8" ht="12.75" customHeight="1">
      <c r="A473" s="22">
        <v>44270</v>
      </c>
      <c r="B473" s="22"/>
      <c r="C473" s="25">
        <f>ROUND(11.9791,4)</f>
        <v>11.9791</v>
      </c>
      <c r="D473" s="25">
        <f>F473</f>
        <v>13.7201</v>
      </c>
      <c r="E473" s="25">
        <f>F473</f>
        <v>13.7201</v>
      </c>
      <c r="F473" s="25">
        <f>ROUND(13.7201,4)</f>
        <v>13.7201</v>
      </c>
      <c r="G473" s="24"/>
      <c r="H473" s="35"/>
    </row>
    <row r="474" spans="1:8" ht="12.75" customHeight="1">
      <c r="A474" s="22">
        <v>44358</v>
      </c>
      <c r="B474" s="22"/>
      <c r="C474" s="25">
        <f>ROUND(11.9791,4)</f>
        <v>11.9791</v>
      </c>
      <c r="D474" s="25">
        <f>F474</f>
        <v>13.8783</v>
      </c>
      <c r="E474" s="25">
        <f>F474</f>
        <v>13.8783</v>
      </c>
      <c r="F474" s="25">
        <f>ROUND(13.8783,4)</f>
        <v>13.8783</v>
      </c>
      <c r="G474" s="24"/>
      <c r="H474" s="35"/>
    </row>
    <row r="475" spans="1:8" ht="12.75" customHeight="1">
      <c r="A475" s="22" t="s">
        <v>87</v>
      </c>
      <c r="B475" s="22"/>
      <c r="C475" s="23"/>
      <c r="D475" s="23"/>
      <c r="E475" s="23"/>
      <c r="F475" s="23"/>
      <c r="G475" s="24"/>
      <c r="H475" s="35"/>
    </row>
    <row r="476" spans="1:8" ht="12.75" customHeight="1">
      <c r="A476" s="22">
        <v>43269</v>
      </c>
      <c r="B476" s="22"/>
      <c r="C476" s="25">
        <f>ROUND(1.27437234042553,4)</f>
        <v>1.2744</v>
      </c>
      <c r="D476" s="25">
        <f>F476</f>
        <v>1.2557</v>
      </c>
      <c r="E476" s="25">
        <f>F476</f>
        <v>1.2557</v>
      </c>
      <c r="F476" s="25">
        <f>ROUND(1.2557,4)</f>
        <v>1.2557</v>
      </c>
      <c r="G476" s="24"/>
      <c r="H476" s="35"/>
    </row>
    <row r="477" spans="1:8" ht="12.75" customHeight="1">
      <c r="A477" s="22">
        <v>43360</v>
      </c>
      <c r="B477" s="22"/>
      <c r="C477" s="25">
        <f>ROUND(1.27437234042553,4)</f>
        <v>1.2744</v>
      </c>
      <c r="D477" s="25">
        <f>F477</f>
        <v>1.2333</v>
      </c>
      <c r="E477" s="25">
        <f>F477</f>
        <v>1.2333</v>
      </c>
      <c r="F477" s="25">
        <f>ROUND(1.2333,4)</f>
        <v>1.2333</v>
      </c>
      <c r="G477" s="24"/>
      <c r="H477" s="35"/>
    </row>
    <row r="478" spans="1:8" ht="12.75" customHeight="1">
      <c r="A478" s="22">
        <v>43448</v>
      </c>
      <c r="B478" s="22"/>
      <c r="C478" s="25">
        <f>ROUND(1.27437234042553,4)</f>
        <v>1.2744</v>
      </c>
      <c r="D478" s="25">
        <f>F478</f>
        <v>1.2134</v>
      </c>
      <c r="E478" s="25">
        <f>F478</f>
        <v>1.2134</v>
      </c>
      <c r="F478" s="25">
        <f>ROUND(1.2134,4)</f>
        <v>1.2134</v>
      </c>
      <c r="G478" s="24"/>
      <c r="H478" s="35"/>
    </row>
    <row r="479" spans="1:8" ht="12.75" customHeight="1">
      <c r="A479" s="22">
        <v>43542</v>
      </c>
      <c r="B479" s="22"/>
      <c r="C479" s="25">
        <f>ROUND(1.27437234042553,4)</f>
        <v>1.2744</v>
      </c>
      <c r="D479" s="25">
        <f>F479</f>
        <v>1.1936</v>
      </c>
      <c r="E479" s="25">
        <f>F479</f>
        <v>1.1936</v>
      </c>
      <c r="F479" s="25">
        <f>ROUND(1.1936,4)</f>
        <v>1.1936</v>
      </c>
      <c r="G479" s="24"/>
      <c r="H479" s="35"/>
    </row>
    <row r="480" spans="1:8" ht="12.75" customHeight="1">
      <c r="A480" s="22">
        <v>43630</v>
      </c>
      <c r="B480" s="22"/>
      <c r="C480" s="25">
        <f>ROUND(1.27437234042553,4)</f>
        <v>1.2744</v>
      </c>
      <c r="D480" s="25">
        <f>F480</f>
        <v>1.1763</v>
      </c>
      <c r="E480" s="25">
        <f>F480</f>
        <v>1.1763</v>
      </c>
      <c r="F480" s="25">
        <f>ROUND(1.1763,4)</f>
        <v>1.1763</v>
      </c>
      <c r="G480" s="24"/>
      <c r="H480" s="35"/>
    </row>
    <row r="481" spans="1:8" ht="12.75" customHeight="1">
      <c r="A481" s="22">
        <v>43724</v>
      </c>
      <c r="B481" s="22"/>
      <c r="C481" s="25">
        <f>ROUND(1.27437234042553,4)</f>
        <v>1.2744</v>
      </c>
      <c r="D481" s="25">
        <f>F481</f>
        <v>1.2269</v>
      </c>
      <c r="E481" s="25">
        <f>F481</f>
        <v>1.2269</v>
      </c>
      <c r="F481" s="25">
        <f>ROUND(1.2269,4)</f>
        <v>1.2269</v>
      </c>
      <c r="G481" s="24"/>
      <c r="H481" s="35"/>
    </row>
    <row r="482" spans="1:8" ht="12.75" customHeight="1">
      <c r="A482" s="22" t="s">
        <v>88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43223</v>
      </c>
      <c r="B483" s="22"/>
      <c r="C483" s="27">
        <f>ROUND(700.798,3)</f>
        <v>700.798</v>
      </c>
      <c r="D483" s="27">
        <f>F483</f>
        <v>704.71</v>
      </c>
      <c r="E483" s="27">
        <f>F483</f>
        <v>704.71</v>
      </c>
      <c r="F483" s="27">
        <f>ROUND(704.71,3)</f>
        <v>704.71</v>
      </c>
      <c r="G483" s="24"/>
      <c r="H483" s="35"/>
    </row>
    <row r="484" spans="1:8" ht="12.75" customHeight="1">
      <c r="A484" s="22">
        <v>43314</v>
      </c>
      <c r="B484" s="22"/>
      <c r="C484" s="27">
        <f>ROUND(700.798,3)</f>
        <v>700.798</v>
      </c>
      <c r="D484" s="27">
        <f>F484</f>
        <v>717.737</v>
      </c>
      <c r="E484" s="27">
        <f>F484</f>
        <v>717.737</v>
      </c>
      <c r="F484" s="27">
        <f>ROUND(717.737,3)</f>
        <v>717.737</v>
      </c>
      <c r="G484" s="24"/>
      <c r="H484" s="35"/>
    </row>
    <row r="485" spans="1:8" ht="12.75" customHeight="1">
      <c r="A485" s="22">
        <v>43405</v>
      </c>
      <c r="B485" s="22"/>
      <c r="C485" s="27">
        <f>ROUND(700.798,3)</f>
        <v>700.798</v>
      </c>
      <c r="D485" s="27">
        <f>F485</f>
        <v>731.149</v>
      </c>
      <c r="E485" s="27">
        <f>F485</f>
        <v>731.149</v>
      </c>
      <c r="F485" s="27">
        <f>ROUND(731.149,3)</f>
        <v>731.149</v>
      </c>
      <c r="G485" s="24"/>
      <c r="H485" s="35"/>
    </row>
    <row r="486" spans="1:8" ht="12.75" customHeight="1">
      <c r="A486" s="22">
        <v>43503</v>
      </c>
      <c r="B486" s="22"/>
      <c r="C486" s="27">
        <f>ROUND(700.798,3)</f>
        <v>700.798</v>
      </c>
      <c r="D486" s="27">
        <f>F486</f>
        <v>745.978</v>
      </c>
      <c r="E486" s="27">
        <f>F486</f>
        <v>745.978</v>
      </c>
      <c r="F486" s="27">
        <f>ROUND(745.978,3)</f>
        <v>745.978</v>
      </c>
      <c r="G486" s="24"/>
      <c r="H486" s="35"/>
    </row>
    <row r="487" spans="1:8" ht="12.75" customHeight="1">
      <c r="A487" s="22" t="s">
        <v>89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ROUND(585.99,3)</f>
        <v>585.99</v>
      </c>
      <c r="D488" s="27">
        <f>F488</f>
        <v>589.261</v>
      </c>
      <c r="E488" s="27">
        <f>F488</f>
        <v>589.261</v>
      </c>
      <c r="F488" s="27">
        <f>ROUND(589.261,3)</f>
        <v>589.261</v>
      </c>
      <c r="G488" s="24"/>
      <c r="H488" s="35"/>
    </row>
    <row r="489" spans="1:8" ht="12.75" customHeight="1">
      <c r="A489" s="22">
        <v>43314</v>
      </c>
      <c r="B489" s="22"/>
      <c r="C489" s="27">
        <f>ROUND(585.99,3)</f>
        <v>585.99</v>
      </c>
      <c r="D489" s="27">
        <f>F489</f>
        <v>600.154</v>
      </c>
      <c r="E489" s="27">
        <f>F489</f>
        <v>600.154</v>
      </c>
      <c r="F489" s="27">
        <f>ROUND(600.154,3)</f>
        <v>600.154</v>
      </c>
      <c r="G489" s="24"/>
      <c r="H489" s="35"/>
    </row>
    <row r="490" spans="1:8" ht="12.75" customHeight="1">
      <c r="A490" s="22">
        <v>43405</v>
      </c>
      <c r="B490" s="22"/>
      <c r="C490" s="27">
        <f>ROUND(585.99,3)</f>
        <v>585.99</v>
      </c>
      <c r="D490" s="27">
        <f>F490</f>
        <v>611.369</v>
      </c>
      <c r="E490" s="27">
        <f>F490</f>
        <v>611.369</v>
      </c>
      <c r="F490" s="27">
        <f>ROUND(611.369,3)</f>
        <v>611.369</v>
      </c>
      <c r="G490" s="24"/>
      <c r="H490" s="35"/>
    </row>
    <row r="491" spans="1:8" ht="12.75" customHeight="1">
      <c r="A491" s="22">
        <v>43503</v>
      </c>
      <c r="B491" s="22"/>
      <c r="C491" s="27">
        <f>ROUND(585.99,3)</f>
        <v>585.99</v>
      </c>
      <c r="D491" s="27">
        <f>F491</f>
        <v>623.768</v>
      </c>
      <c r="E491" s="27">
        <f>F491</f>
        <v>623.768</v>
      </c>
      <c r="F491" s="27">
        <f>ROUND(623.768,3)</f>
        <v>623.768</v>
      </c>
      <c r="G491" s="24"/>
      <c r="H491" s="35"/>
    </row>
    <row r="492" spans="1:8" ht="12.75" customHeight="1">
      <c r="A492" s="22" t="s">
        <v>90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ROUND(691.933,3)</f>
        <v>691.933</v>
      </c>
      <c r="D493" s="27">
        <f>F493</f>
        <v>695.796</v>
      </c>
      <c r="E493" s="27">
        <f>F493</f>
        <v>695.796</v>
      </c>
      <c r="F493" s="27">
        <f>ROUND(695.796,3)</f>
        <v>695.796</v>
      </c>
      <c r="G493" s="24"/>
      <c r="H493" s="35"/>
    </row>
    <row r="494" spans="1:8" ht="12.75" customHeight="1">
      <c r="A494" s="22">
        <v>43314</v>
      </c>
      <c r="B494" s="22"/>
      <c r="C494" s="27">
        <f>ROUND(691.933,3)</f>
        <v>691.933</v>
      </c>
      <c r="D494" s="27">
        <f>F494</f>
        <v>708.658</v>
      </c>
      <c r="E494" s="27">
        <f>F494</f>
        <v>708.658</v>
      </c>
      <c r="F494" s="27">
        <f>ROUND(708.658,3)</f>
        <v>708.658</v>
      </c>
      <c r="G494" s="24"/>
      <c r="H494" s="35"/>
    </row>
    <row r="495" spans="1:8" ht="12.75" customHeight="1">
      <c r="A495" s="22">
        <v>43405</v>
      </c>
      <c r="B495" s="22"/>
      <c r="C495" s="27">
        <f>ROUND(691.933,3)</f>
        <v>691.933</v>
      </c>
      <c r="D495" s="27">
        <f>F495</f>
        <v>721.9</v>
      </c>
      <c r="E495" s="27">
        <f>F495</f>
        <v>721.9</v>
      </c>
      <c r="F495" s="27">
        <f>ROUND(721.9,3)</f>
        <v>721.9</v>
      </c>
      <c r="G495" s="24"/>
      <c r="H495" s="35"/>
    </row>
    <row r="496" spans="1:8" ht="12.75" customHeight="1">
      <c r="A496" s="22">
        <v>43503</v>
      </c>
      <c r="B496" s="22"/>
      <c r="C496" s="27">
        <f>ROUND(691.933,3)</f>
        <v>691.933</v>
      </c>
      <c r="D496" s="27">
        <f>F496</f>
        <v>736.541</v>
      </c>
      <c r="E496" s="27">
        <f>F496</f>
        <v>736.541</v>
      </c>
      <c r="F496" s="27">
        <f>ROUND(736.541,3)</f>
        <v>736.541</v>
      </c>
      <c r="G496" s="24"/>
      <c r="H496" s="35"/>
    </row>
    <row r="497" spans="1:8" ht="12.75" customHeight="1">
      <c r="A497" s="22" t="s">
        <v>91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ROUND(633.738,3)</f>
        <v>633.738</v>
      </c>
      <c r="D498" s="27">
        <f>F498</f>
        <v>637.276</v>
      </c>
      <c r="E498" s="27">
        <f>F498</f>
        <v>637.276</v>
      </c>
      <c r="F498" s="27">
        <f>ROUND(637.276,3)</f>
        <v>637.276</v>
      </c>
      <c r="G498" s="24"/>
      <c r="H498" s="35"/>
    </row>
    <row r="499" spans="1:8" ht="12.75" customHeight="1">
      <c r="A499" s="22">
        <v>43314</v>
      </c>
      <c r="B499" s="22"/>
      <c r="C499" s="27">
        <f>ROUND(633.738,3)</f>
        <v>633.738</v>
      </c>
      <c r="D499" s="27">
        <f>F499</f>
        <v>649.057</v>
      </c>
      <c r="E499" s="27">
        <f>F499</f>
        <v>649.057</v>
      </c>
      <c r="F499" s="27">
        <f>ROUND(649.057,3)</f>
        <v>649.057</v>
      </c>
      <c r="G499" s="24"/>
      <c r="H499" s="35"/>
    </row>
    <row r="500" spans="1:8" ht="12.75" customHeight="1">
      <c r="A500" s="22">
        <v>43405</v>
      </c>
      <c r="B500" s="22"/>
      <c r="C500" s="27">
        <f>ROUND(633.738,3)</f>
        <v>633.738</v>
      </c>
      <c r="D500" s="27">
        <f>F500</f>
        <v>661.184</v>
      </c>
      <c r="E500" s="27">
        <f>F500</f>
        <v>661.184</v>
      </c>
      <c r="F500" s="27">
        <f>ROUND(661.184,3)</f>
        <v>661.184</v>
      </c>
      <c r="G500" s="24"/>
      <c r="H500" s="35"/>
    </row>
    <row r="501" spans="1:8" ht="12.75" customHeight="1">
      <c r="A501" s="22">
        <v>43503</v>
      </c>
      <c r="B501" s="22"/>
      <c r="C501" s="27">
        <f>ROUND(633.738,3)</f>
        <v>633.738</v>
      </c>
      <c r="D501" s="27">
        <f>F501</f>
        <v>674.594</v>
      </c>
      <c r="E501" s="27">
        <f>F501</f>
        <v>674.594</v>
      </c>
      <c r="F501" s="27">
        <f>ROUND(674.594,3)</f>
        <v>674.594</v>
      </c>
      <c r="G501" s="24"/>
      <c r="H501" s="35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ROUND(262.481974554384,3)</f>
        <v>262.482</v>
      </c>
      <c r="D503" s="27">
        <f>F503</f>
        <v>263.952</v>
      </c>
      <c r="E503" s="27">
        <f>F503</f>
        <v>263.952</v>
      </c>
      <c r="F503" s="27">
        <f>ROUND(263.952,3)</f>
        <v>263.952</v>
      </c>
      <c r="G503" s="24"/>
      <c r="H503" s="35"/>
    </row>
    <row r="504" spans="1:8" ht="12.75" customHeight="1">
      <c r="A504" s="22">
        <v>43314</v>
      </c>
      <c r="B504" s="22"/>
      <c r="C504" s="27">
        <f>ROUND(262.481974554384,3)</f>
        <v>262.482</v>
      </c>
      <c r="D504" s="27">
        <f>F504</f>
        <v>268.845</v>
      </c>
      <c r="E504" s="27">
        <f>F504</f>
        <v>268.845</v>
      </c>
      <c r="F504" s="27">
        <f>ROUND(268.845,3)</f>
        <v>268.845</v>
      </c>
      <c r="G504" s="24"/>
      <c r="H504" s="35"/>
    </row>
    <row r="505" spans="1:8" ht="12.75" customHeight="1">
      <c r="A505" s="22">
        <v>43405</v>
      </c>
      <c r="B505" s="22"/>
      <c r="C505" s="27">
        <f>ROUND(262.481974554384,3)</f>
        <v>262.482</v>
      </c>
      <c r="D505" s="27">
        <f>F505</f>
        <v>273.901</v>
      </c>
      <c r="E505" s="27">
        <f>F505</f>
        <v>273.901</v>
      </c>
      <c r="F505" s="27">
        <f>ROUND(273.901,3)</f>
        <v>273.901</v>
      </c>
      <c r="G505" s="24"/>
      <c r="H505" s="35"/>
    </row>
    <row r="506" spans="1:8" ht="12.75" customHeight="1">
      <c r="A506" s="22">
        <v>43503</v>
      </c>
      <c r="B506" s="22"/>
      <c r="C506" s="27">
        <f>ROUND(262.481974554384,3)</f>
        <v>262.482</v>
      </c>
      <c r="D506" s="27">
        <f>F506</f>
        <v>279.542</v>
      </c>
      <c r="E506" s="27">
        <f>F506</f>
        <v>279.542</v>
      </c>
      <c r="F506" s="27">
        <f>ROUND(279.542,3)</f>
        <v>279.542</v>
      </c>
      <c r="G506" s="24"/>
      <c r="H506" s="35"/>
    </row>
    <row r="507" spans="1:8" ht="12.75" customHeight="1">
      <c r="A507" s="22" t="s">
        <v>93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43269</v>
      </c>
      <c r="B508" s="22"/>
      <c r="C508" s="24">
        <f>ROUND(22036.7825608886,2)</f>
        <v>22036.78</v>
      </c>
      <c r="D508" s="24">
        <f>F508</f>
        <v>22299.91</v>
      </c>
      <c r="E508" s="24">
        <f>F508</f>
        <v>22299.91</v>
      </c>
      <c r="F508" s="24">
        <f>ROUND(22299.91,2)</f>
        <v>22299.91</v>
      </c>
      <c r="G508" s="24"/>
      <c r="H508" s="35"/>
    </row>
    <row r="509" spans="1:8" ht="12.75" customHeight="1">
      <c r="A509" s="22">
        <v>43360</v>
      </c>
      <c r="B509" s="22"/>
      <c r="C509" s="24">
        <f>ROUND(22036.7825608886,2)</f>
        <v>22036.78</v>
      </c>
      <c r="D509" s="24">
        <f>F509</f>
        <v>22637.07</v>
      </c>
      <c r="E509" s="24">
        <f>F509</f>
        <v>22637.07</v>
      </c>
      <c r="F509" s="24">
        <f>ROUND(22637.07,2)</f>
        <v>22637.07</v>
      </c>
      <c r="G509" s="24"/>
      <c r="H509" s="35"/>
    </row>
    <row r="510" spans="1:8" ht="12.75" customHeight="1">
      <c r="A510" s="22">
        <v>43448</v>
      </c>
      <c r="B510" s="22"/>
      <c r="C510" s="24">
        <f>ROUND(22036.7825608886,2)</f>
        <v>22036.78</v>
      </c>
      <c r="D510" s="24">
        <f>F510</f>
        <v>22971.56</v>
      </c>
      <c r="E510" s="24">
        <f>F510</f>
        <v>22971.56</v>
      </c>
      <c r="F510" s="24">
        <f>ROUND(22971.56,2)</f>
        <v>22971.56</v>
      </c>
      <c r="G510" s="24"/>
      <c r="H510" s="35"/>
    </row>
    <row r="511" spans="1:8" ht="12.75" customHeight="1">
      <c r="A511" s="22" t="s">
        <v>94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43208</v>
      </c>
      <c r="B512" s="22"/>
      <c r="C512" s="27">
        <f>ROUND(6.892,3)</f>
        <v>6.892</v>
      </c>
      <c r="D512" s="27">
        <f>ROUND(6.89,3)</f>
        <v>6.89</v>
      </c>
      <c r="E512" s="27">
        <f>ROUND(6.99,3)</f>
        <v>6.99</v>
      </c>
      <c r="F512" s="27">
        <f>ROUND(6.94,3)</f>
        <v>6.94</v>
      </c>
      <c r="G512" s="24"/>
      <c r="H512" s="35"/>
    </row>
    <row r="513" spans="1:8" ht="12.75" customHeight="1">
      <c r="A513" s="22">
        <v>43236</v>
      </c>
      <c r="B513" s="22"/>
      <c r="C513" s="27">
        <f>ROUND(6.892,3)</f>
        <v>6.892</v>
      </c>
      <c r="D513" s="27">
        <f>ROUND(6.84,3)</f>
        <v>6.84</v>
      </c>
      <c r="E513" s="27">
        <f>ROUND(6.94,3)</f>
        <v>6.94</v>
      </c>
      <c r="F513" s="27">
        <f>ROUND(6.89,3)</f>
        <v>6.89</v>
      </c>
      <c r="G513" s="24"/>
      <c r="H513" s="35"/>
    </row>
    <row r="514" spans="1:8" ht="12.75" customHeight="1">
      <c r="A514" s="22">
        <v>43269</v>
      </c>
      <c r="B514" s="22"/>
      <c r="C514" s="27">
        <f>ROUND(6.892,3)</f>
        <v>6.892</v>
      </c>
      <c r="D514" s="27">
        <f>ROUND(7.51,3)</f>
        <v>7.51</v>
      </c>
      <c r="E514" s="27">
        <f>ROUND(7.41,3)</f>
        <v>7.41</v>
      </c>
      <c r="F514" s="27">
        <f>ROUND(7.46,3)</f>
        <v>7.46</v>
      </c>
      <c r="G514" s="24"/>
      <c r="H514" s="35"/>
    </row>
    <row r="515" spans="1:8" ht="12.75" customHeight="1">
      <c r="A515" s="22">
        <v>43271</v>
      </c>
      <c r="B515" s="22"/>
      <c r="C515" s="27">
        <f>ROUND(6.892,3)</f>
        <v>6.892</v>
      </c>
      <c r="D515" s="27">
        <f>ROUND(6.84,3)</f>
        <v>6.84</v>
      </c>
      <c r="E515" s="27">
        <f>ROUND(6.94,3)</f>
        <v>6.94</v>
      </c>
      <c r="F515" s="27">
        <f>ROUND(6.89,3)</f>
        <v>6.89</v>
      </c>
      <c r="G515" s="24"/>
      <c r="H515" s="35"/>
    </row>
    <row r="516" spans="1:8" ht="12.75" customHeight="1">
      <c r="A516" s="22">
        <v>43299</v>
      </c>
      <c r="B516" s="22"/>
      <c r="C516" s="27">
        <f>ROUND(6.892,3)</f>
        <v>6.892</v>
      </c>
      <c r="D516" s="27">
        <f>ROUND(6.77,3)</f>
        <v>6.77</v>
      </c>
      <c r="E516" s="27">
        <f>ROUND(6.87,3)</f>
        <v>6.87</v>
      </c>
      <c r="F516" s="27">
        <f>ROUND(6.82,3)</f>
        <v>6.82</v>
      </c>
      <c r="G516" s="24"/>
      <c r="H516" s="35"/>
    </row>
    <row r="517" spans="1:8" ht="12.75" customHeight="1">
      <c r="A517" s="22">
        <v>43362</v>
      </c>
      <c r="B517" s="22"/>
      <c r="C517" s="27">
        <f>ROUND(6.892,3)</f>
        <v>6.892</v>
      </c>
      <c r="D517" s="27">
        <f>ROUND(6.72,3)</f>
        <v>6.72</v>
      </c>
      <c r="E517" s="27">
        <f>ROUND(6.82,3)</f>
        <v>6.82</v>
      </c>
      <c r="F517" s="27">
        <f>ROUND(6.77,3)</f>
        <v>6.77</v>
      </c>
      <c r="G517" s="24"/>
      <c r="H517" s="35"/>
    </row>
    <row r="518" spans="1:8" ht="12.75" customHeight="1">
      <c r="A518" s="22">
        <v>43453</v>
      </c>
      <c r="B518" s="22"/>
      <c r="C518" s="27">
        <f>ROUND(6.892,3)</f>
        <v>6.892</v>
      </c>
      <c r="D518" s="27">
        <f>ROUND(6.75,3)</f>
        <v>6.75</v>
      </c>
      <c r="E518" s="27">
        <f>ROUND(6.85,3)</f>
        <v>6.85</v>
      </c>
      <c r="F518" s="27">
        <f>ROUND(6.8,3)</f>
        <v>6.8</v>
      </c>
      <c r="G518" s="24"/>
      <c r="H518" s="35"/>
    </row>
    <row r="519" spans="1:8" ht="12.75" customHeight="1">
      <c r="A519" s="22">
        <v>43544</v>
      </c>
      <c r="B519" s="22"/>
      <c r="C519" s="27">
        <f>ROUND(6.892,3)</f>
        <v>6.892</v>
      </c>
      <c r="D519" s="27">
        <f>ROUND(6.81,3)</f>
        <v>6.81</v>
      </c>
      <c r="E519" s="27">
        <f>ROUND(6.91,3)</f>
        <v>6.91</v>
      </c>
      <c r="F519" s="27">
        <f>ROUND(6.86,3)</f>
        <v>6.86</v>
      </c>
      <c r="G519" s="24"/>
      <c r="H519" s="35"/>
    </row>
    <row r="520" spans="1:8" ht="12.75" customHeight="1">
      <c r="A520" s="22">
        <v>43635</v>
      </c>
      <c r="B520" s="22"/>
      <c r="C520" s="27">
        <f>ROUND(6.892,3)</f>
        <v>6.892</v>
      </c>
      <c r="D520" s="27">
        <f>ROUND(6.86,3)</f>
        <v>6.86</v>
      </c>
      <c r="E520" s="27">
        <f>ROUND(6.96,3)</f>
        <v>6.96</v>
      </c>
      <c r="F520" s="27">
        <f>ROUND(6.91,3)</f>
        <v>6.91</v>
      </c>
      <c r="G520" s="24"/>
      <c r="H520" s="35"/>
    </row>
    <row r="521" spans="1:8" ht="12.75" customHeight="1">
      <c r="A521" s="22">
        <v>43726</v>
      </c>
      <c r="B521" s="22"/>
      <c r="C521" s="27">
        <f>ROUND(6.892,3)</f>
        <v>6.892</v>
      </c>
      <c r="D521" s="27">
        <f>ROUND(6.97,3)</f>
        <v>6.97</v>
      </c>
      <c r="E521" s="27">
        <f>ROUND(6.87,3)</f>
        <v>6.87</v>
      </c>
      <c r="F521" s="27">
        <f>ROUND(6.92,3)</f>
        <v>6.92</v>
      </c>
      <c r="G521" s="24"/>
      <c r="H521" s="35"/>
    </row>
    <row r="522" spans="1:8" ht="12.75" customHeight="1">
      <c r="A522" s="22">
        <v>43817</v>
      </c>
      <c r="B522" s="22"/>
      <c r="C522" s="27">
        <f>ROUND(6.892,3)</f>
        <v>6.892</v>
      </c>
      <c r="D522" s="27">
        <f>ROUND(7.05,3)</f>
        <v>7.05</v>
      </c>
      <c r="E522" s="27">
        <f>ROUND(6.95,3)</f>
        <v>6.95</v>
      </c>
      <c r="F522" s="27">
        <f>ROUND(7,3)</f>
        <v>7</v>
      </c>
      <c r="G522" s="24"/>
      <c r="H522" s="35"/>
    </row>
    <row r="523" spans="1:8" ht="12.75" customHeight="1">
      <c r="A523" s="22" t="s">
        <v>95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43223</v>
      </c>
      <c r="B524" s="22"/>
      <c r="C524" s="27">
        <f>ROUND(630.308,3)</f>
        <v>630.308</v>
      </c>
      <c r="D524" s="27">
        <f>F524</f>
        <v>633.827</v>
      </c>
      <c r="E524" s="27">
        <f>F524</f>
        <v>633.827</v>
      </c>
      <c r="F524" s="27">
        <f>ROUND(633.827,3)</f>
        <v>633.827</v>
      </c>
      <c r="G524" s="24"/>
      <c r="H524" s="35"/>
    </row>
    <row r="525" spans="1:8" ht="12.75" customHeight="1">
      <c r="A525" s="22">
        <v>43314</v>
      </c>
      <c r="B525" s="22"/>
      <c r="C525" s="27">
        <f>ROUND(630.308,3)</f>
        <v>630.308</v>
      </c>
      <c r="D525" s="27">
        <f>F525</f>
        <v>645.544</v>
      </c>
      <c r="E525" s="27">
        <f>F525</f>
        <v>645.544</v>
      </c>
      <c r="F525" s="27">
        <f>ROUND(645.544,3)</f>
        <v>645.544</v>
      </c>
      <c r="G525" s="24"/>
      <c r="H525" s="35"/>
    </row>
    <row r="526" spans="1:8" ht="12.75" customHeight="1">
      <c r="A526" s="22">
        <v>43405</v>
      </c>
      <c r="B526" s="22"/>
      <c r="C526" s="27">
        <f>ROUND(630.308,3)</f>
        <v>630.308</v>
      </c>
      <c r="D526" s="27">
        <f>F526</f>
        <v>657.606</v>
      </c>
      <c r="E526" s="27">
        <f>F526</f>
        <v>657.606</v>
      </c>
      <c r="F526" s="27">
        <f>ROUND(657.606,3)</f>
        <v>657.606</v>
      </c>
      <c r="G526" s="24"/>
      <c r="H526" s="35"/>
    </row>
    <row r="527" spans="1:8" ht="12.75" customHeight="1">
      <c r="A527" s="22">
        <v>43503</v>
      </c>
      <c r="B527" s="22"/>
      <c r="C527" s="27">
        <f>ROUND(630.308,3)</f>
        <v>630.308</v>
      </c>
      <c r="D527" s="27">
        <f>F527</f>
        <v>670.943</v>
      </c>
      <c r="E527" s="27">
        <f>F527</f>
        <v>670.943</v>
      </c>
      <c r="F527" s="27">
        <f>ROUND(670.943,3)</f>
        <v>670.943</v>
      </c>
      <c r="G527" s="24"/>
      <c r="H527" s="35"/>
    </row>
    <row r="528" spans="1:8" ht="12.75" customHeight="1">
      <c r="A528" s="22" t="s">
        <v>12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43546</v>
      </c>
      <c r="B529" s="22"/>
      <c r="C529" s="24">
        <f>ROUND(100.020118885056,2)</f>
        <v>100.02</v>
      </c>
      <c r="D529" s="24">
        <f>F529</f>
        <v>99.4</v>
      </c>
      <c r="E529" s="24">
        <f>F529</f>
        <v>99.4</v>
      </c>
      <c r="F529" s="24">
        <f>ROUND(99.404813995124,2)</f>
        <v>99.4</v>
      </c>
      <c r="G529" s="24"/>
      <c r="H529" s="35"/>
    </row>
    <row r="530" spans="1:8" ht="12.75" customHeight="1">
      <c r="A530" s="22" t="s">
        <v>13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43913</v>
      </c>
      <c r="B531" s="22"/>
      <c r="C531" s="24">
        <f>ROUND(100.123199607723,2)</f>
        <v>100.12</v>
      </c>
      <c r="D531" s="24">
        <f>F531</f>
        <v>98.33</v>
      </c>
      <c r="E531" s="24">
        <f>F531</f>
        <v>98.33</v>
      </c>
      <c r="F531" s="24">
        <f>ROUND(98.3303217953006,2)</f>
        <v>98.33</v>
      </c>
      <c r="G531" s="24"/>
      <c r="H531" s="35"/>
    </row>
    <row r="532" spans="1:8" ht="12.75" customHeight="1">
      <c r="A532" s="22" t="s">
        <v>14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45007</v>
      </c>
      <c r="B533" s="22"/>
      <c r="C533" s="24">
        <f>ROUND(99.7419802749774,2)</f>
        <v>99.74</v>
      </c>
      <c r="D533" s="24">
        <f>F533</f>
        <v>95.47</v>
      </c>
      <c r="E533" s="24">
        <f>F533</f>
        <v>95.47</v>
      </c>
      <c r="F533" s="24">
        <f>ROUND(95.474131562011,2)</f>
        <v>95.47</v>
      </c>
      <c r="G533" s="24"/>
      <c r="H533" s="35"/>
    </row>
    <row r="534" spans="1:8" ht="12.75" customHeight="1">
      <c r="A534" s="22" t="s">
        <v>15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46834</v>
      </c>
      <c r="B535" s="22"/>
      <c r="C535" s="24">
        <f>ROUND(99.4126807622967,2)</f>
        <v>99.41</v>
      </c>
      <c r="D535" s="24">
        <f>F535</f>
        <v>93.94</v>
      </c>
      <c r="E535" s="24">
        <f>F535</f>
        <v>93.94</v>
      </c>
      <c r="F535" s="24">
        <f>ROUND(93.9422346482221,2)</f>
        <v>93.94</v>
      </c>
      <c r="G535" s="24"/>
      <c r="H535" s="35"/>
    </row>
    <row r="536" spans="1:8" ht="12.75" customHeight="1">
      <c r="A536" s="22" t="s">
        <v>96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43272</v>
      </c>
      <c r="B537" s="22"/>
      <c r="C537" s="26">
        <f>ROUND(100.020118885056,5)</f>
        <v>100.02012</v>
      </c>
      <c r="D537" s="26">
        <f>F537</f>
        <v>99.90719</v>
      </c>
      <c r="E537" s="26">
        <f>F537</f>
        <v>99.90719</v>
      </c>
      <c r="F537" s="26">
        <f>ROUND(99.9071865166767,5)</f>
        <v>99.90719</v>
      </c>
      <c r="G537" s="24"/>
      <c r="H537" s="35"/>
    </row>
    <row r="538" spans="1:8" ht="12.75" customHeight="1">
      <c r="A538" s="22" t="s">
        <v>97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43363</v>
      </c>
      <c r="B539" s="22"/>
      <c r="C539" s="26">
        <f>ROUND(100.020118885056,5)</f>
        <v>100.02012</v>
      </c>
      <c r="D539" s="26">
        <f>F539</f>
        <v>100.02331</v>
      </c>
      <c r="E539" s="26">
        <f>F539</f>
        <v>100.02331</v>
      </c>
      <c r="F539" s="26">
        <f>ROUND(100.023309244888,5)</f>
        <v>100.02331</v>
      </c>
      <c r="G539" s="24"/>
      <c r="H539" s="35"/>
    </row>
    <row r="540" spans="1:8" ht="12.75" customHeight="1">
      <c r="A540" s="22" t="s">
        <v>98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43636</v>
      </c>
      <c r="B541" s="22"/>
      <c r="C541" s="24">
        <f>ROUND(100.020118885056,2)</f>
        <v>100.02</v>
      </c>
      <c r="D541" s="24">
        <f>F541</f>
        <v>100.02</v>
      </c>
      <c r="E541" s="24">
        <f>F541</f>
        <v>100.02</v>
      </c>
      <c r="F541" s="24">
        <f>ROUND(100.020118885056,2)</f>
        <v>100.02</v>
      </c>
      <c r="G541" s="24"/>
      <c r="H541" s="35"/>
    </row>
    <row r="542" spans="1:8" ht="12.75" customHeight="1">
      <c r="A542" s="22" t="s">
        <v>99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43266</v>
      </c>
      <c r="B543" s="22"/>
      <c r="C543" s="26">
        <f>ROUND(100.123199607723,5)</f>
        <v>100.1232</v>
      </c>
      <c r="D543" s="26">
        <f>F543</f>
        <v>98.59334</v>
      </c>
      <c r="E543" s="26">
        <f>F543</f>
        <v>98.59334</v>
      </c>
      <c r="F543" s="26">
        <f>ROUND(98.5933413945993,5)</f>
        <v>98.59334</v>
      </c>
      <c r="G543" s="24"/>
      <c r="H543" s="35"/>
    </row>
    <row r="544" spans="1:8" ht="12.75" customHeight="1">
      <c r="A544" s="22" t="s">
        <v>100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43364</v>
      </c>
      <c r="B545" s="22"/>
      <c r="C545" s="26">
        <f>ROUND(100.123199607723,5)</f>
        <v>100.1232</v>
      </c>
      <c r="D545" s="26">
        <f>F545</f>
        <v>98.49394</v>
      </c>
      <c r="E545" s="26">
        <f>F545</f>
        <v>98.49394</v>
      </c>
      <c r="F545" s="26">
        <f>ROUND(98.4939351871318,5)</f>
        <v>98.49394</v>
      </c>
      <c r="G545" s="24"/>
      <c r="H545" s="35"/>
    </row>
    <row r="546" spans="1:8" ht="12.75" customHeight="1">
      <c r="A546" s="22" t="s">
        <v>101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43455</v>
      </c>
      <c r="B547" s="22"/>
      <c r="C547" s="24">
        <f>ROUND(100.123199607723,2)</f>
        <v>100.12</v>
      </c>
      <c r="D547" s="24">
        <f>F547</f>
        <v>98.82</v>
      </c>
      <c r="E547" s="24">
        <f>F547</f>
        <v>98.82</v>
      </c>
      <c r="F547" s="24">
        <f>ROUND(98.8221900165253,2)</f>
        <v>98.82</v>
      </c>
      <c r="G547" s="24"/>
      <c r="H547" s="35"/>
    </row>
    <row r="548" spans="1:8" ht="12.75" customHeight="1">
      <c r="A548" s="22" t="s">
        <v>102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43539</v>
      </c>
      <c r="B549" s="22"/>
      <c r="C549" s="26">
        <f>ROUND(100.123199607723,5)</f>
        <v>100.1232</v>
      </c>
      <c r="D549" s="26">
        <f>F549</f>
        <v>99.15339</v>
      </c>
      <c r="E549" s="26">
        <f>F549</f>
        <v>99.15339</v>
      </c>
      <c r="F549" s="26">
        <f>ROUND(99.1533869081804,5)</f>
        <v>99.15339</v>
      </c>
      <c r="G549" s="24"/>
      <c r="H549" s="35"/>
    </row>
    <row r="550" spans="1:8" ht="12.75" customHeight="1">
      <c r="A550" s="22" t="s">
        <v>103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43637</v>
      </c>
      <c r="B551" s="22"/>
      <c r="C551" s="26">
        <f>ROUND(100.123199607723,5)</f>
        <v>100.1232</v>
      </c>
      <c r="D551" s="26">
        <f>F551</f>
        <v>99.47065</v>
      </c>
      <c r="E551" s="26">
        <f>F551</f>
        <v>99.47065</v>
      </c>
      <c r="F551" s="26">
        <f>ROUND(99.4706510090086,5)</f>
        <v>99.47065</v>
      </c>
      <c r="G551" s="24"/>
      <c r="H551" s="35"/>
    </row>
    <row r="552" spans="1:8" ht="12.75" customHeight="1">
      <c r="A552" s="22" t="s">
        <v>104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43728</v>
      </c>
      <c r="B553" s="22"/>
      <c r="C553" s="26">
        <f>ROUND(100.123199607723,5)</f>
        <v>100.1232</v>
      </c>
      <c r="D553" s="26">
        <f>F553</f>
        <v>99.79305</v>
      </c>
      <c r="E553" s="26">
        <f>F553</f>
        <v>99.79305</v>
      </c>
      <c r="F553" s="26">
        <f>ROUND(99.7930531538975,5)</f>
        <v>99.79305</v>
      </c>
      <c r="G553" s="24"/>
      <c r="H553" s="35"/>
    </row>
    <row r="554" spans="1:8" ht="12.75" customHeight="1">
      <c r="A554" s="22" t="s">
        <v>105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44004</v>
      </c>
      <c r="B555" s="22"/>
      <c r="C555" s="24">
        <f>ROUND(100.123199607723,2)</f>
        <v>100.12</v>
      </c>
      <c r="D555" s="24">
        <f>F555</f>
        <v>100.12</v>
      </c>
      <c r="E555" s="24">
        <f>F555</f>
        <v>100.12</v>
      </c>
      <c r="F555" s="24">
        <f>ROUND(100.123199607723,2)</f>
        <v>100.12</v>
      </c>
      <c r="G555" s="24"/>
      <c r="H555" s="35"/>
    </row>
    <row r="556" spans="1:8" ht="12.75" customHeight="1">
      <c r="A556" s="22" t="s">
        <v>106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44182</v>
      </c>
      <c r="B557" s="22"/>
      <c r="C557" s="26">
        <f>ROUND(99.7419802749774,5)</f>
        <v>99.74198</v>
      </c>
      <c r="D557" s="26">
        <f>F557</f>
        <v>95.55186</v>
      </c>
      <c r="E557" s="26">
        <f>F557</f>
        <v>95.55186</v>
      </c>
      <c r="F557" s="26">
        <f>ROUND(95.5518613472332,5)</f>
        <v>95.55186</v>
      </c>
      <c r="G557" s="24"/>
      <c r="H557" s="35"/>
    </row>
    <row r="558" spans="1:8" ht="12.75" customHeight="1">
      <c r="A558" s="22" t="s">
        <v>107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44271</v>
      </c>
      <c r="B559" s="22"/>
      <c r="C559" s="26">
        <f>ROUND(99.7419802749774,5)</f>
        <v>99.74198</v>
      </c>
      <c r="D559" s="26">
        <f>F559</f>
        <v>94.69066</v>
      </c>
      <c r="E559" s="26">
        <f>F559</f>
        <v>94.69066</v>
      </c>
      <c r="F559" s="26">
        <f>ROUND(94.6906643202981,5)</f>
        <v>94.69066</v>
      </c>
      <c r="G559" s="24"/>
      <c r="H559" s="35"/>
    </row>
    <row r="560" spans="1:8" ht="12.75" customHeight="1">
      <c r="A560" s="22" t="s">
        <v>108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44362</v>
      </c>
      <c r="B561" s="22"/>
      <c r="C561" s="26">
        <f>ROUND(99.7419802749774,5)</f>
        <v>99.74198</v>
      </c>
      <c r="D561" s="26">
        <f>F561</f>
        <v>93.79455</v>
      </c>
      <c r="E561" s="26">
        <f>F561</f>
        <v>93.79455</v>
      </c>
      <c r="F561" s="26">
        <f>ROUND(93.7945459864375,5)</f>
        <v>93.79455</v>
      </c>
      <c r="G561" s="24"/>
      <c r="H561" s="35"/>
    </row>
    <row r="562" spans="1:8" ht="12.75" customHeight="1">
      <c r="A562" s="22" t="s">
        <v>109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44460</v>
      </c>
      <c r="B563" s="22"/>
      <c r="C563" s="26">
        <f>ROUND(99.7419802749774,5)</f>
        <v>99.74198</v>
      </c>
      <c r="D563" s="26">
        <f>F563</f>
        <v>93.87364</v>
      </c>
      <c r="E563" s="26">
        <f>F563</f>
        <v>93.87364</v>
      </c>
      <c r="F563" s="26">
        <f>ROUND(93.8736444060287,5)</f>
        <v>93.87364</v>
      </c>
      <c r="G563" s="24"/>
      <c r="H563" s="35"/>
    </row>
    <row r="564" spans="1:8" ht="12.75" customHeight="1">
      <c r="A564" s="22" t="s">
        <v>110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44551</v>
      </c>
      <c r="B565" s="22"/>
      <c r="C565" s="26">
        <f>ROUND(99.7419802749774,5)</f>
        <v>99.74198</v>
      </c>
      <c r="D565" s="26">
        <f>F565</f>
        <v>95.98904</v>
      </c>
      <c r="E565" s="26">
        <f>F565</f>
        <v>95.98904</v>
      </c>
      <c r="F565" s="26">
        <f>ROUND(95.9890356043084,5)</f>
        <v>95.98904</v>
      </c>
      <c r="G565" s="24"/>
      <c r="H565" s="35"/>
    </row>
    <row r="566" spans="1:8" ht="12.75" customHeight="1">
      <c r="A566" s="22" t="s">
        <v>111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44635</v>
      </c>
      <c r="B567" s="22"/>
      <c r="C567" s="26">
        <f>ROUND(99.7419802749774,5)</f>
        <v>99.74198</v>
      </c>
      <c r="D567" s="26">
        <f>F567</f>
        <v>96.04742</v>
      </c>
      <c r="E567" s="26">
        <f>F567</f>
        <v>96.04742</v>
      </c>
      <c r="F567" s="26">
        <f>ROUND(96.0474175351109,5)</f>
        <v>96.04742</v>
      </c>
      <c r="G567" s="24"/>
      <c r="H567" s="35"/>
    </row>
    <row r="568" spans="1:8" ht="12.75" customHeight="1">
      <c r="A568" s="22" t="s">
        <v>112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44733</v>
      </c>
      <c r="B569" s="22"/>
      <c r="C569" s="26">
        <f>ROUND(99.7419802749774,5)</f>
        <v>99.74198</v>
      </c>
      <c r="D569" s="26">
        <f>F569</f>
        <v>97.15631</v>
      </c>
      <c r="E569" s="26">
        <f>F569</f>
        <v>97.15631</v>
      </c>
      <c r="F569" s="26">
        <f>ROUND(97.156308009276,5)</f>
        <v>97.15631</v>
      </c>
      <c r="G569" s="24"/>
      <c r="H569" s="35"/>
    </row>
    <row r="570" spans="1:8" ht="12.75" customHeight="1">
      <c r="A570" s="22" t="s">
        <v>113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44824</v>
      </c>
      <c r="B571" s="22"/>
      <c r="C571" s="26">
        <f>ROUND(99.7419802749774,5)</f>
        <v>99.74198</v>
      </c>
      <c r="D571" s="26">
        <f>F571</f>
        <v>99.28845</v>
      </c>
      <c r="E571" s="26">
        <f>F571</f>
        <v>99.28845</v>
      </c>
      <c r="F571" s="26">
        <f>ROUND(99.2884480015874,5)</f>
        <v>99.28845</v>
      </c>
      <c r="G571" s="24"/>
      <c r="H571" s="35"/>
    </row>
    <row r="572" spans="1:8" ht="12.75" customHeight="1">
      <c r="A572" s="22" t="s">
        <v>114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45097</v>
      </c>
      <c r="B573" s="22"/>
      <c r="C573" s="24">
        <f>ROUND(99.7419802749774,2)</f>
        <v>99.74</v>
      </c>
      <c r="D573" s="24">
        <f>F573</f>
        <v>99.74</v>
      </c>
      <c r="E573" s="24">
        <f>F573</f>
        <v>99.74</v>
      </c>
      <c r="F573" s="24">
        <f>ROUND(99.7419802749774,2)</f>
        <v>99.74</v>
      </c>
      <c r="G573" s="24"/>
      <c r="H573" s="35"/>
    </row>
    <row r="574" spans="1:8" ht="12.75" customHeight="1">
      <c r="A574" s="22" t="s">
        <v>115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46008</v>
      </c>
      <c r="B575" s="22"/>
      <c r="C575" s="26">
        <f>ROUND(99.4126807622967,5)</f>
        <v>99.41268</v>
      </c>
      <c r="D575" s="26">
        <f>F575</f>
        <v>92.91882</v>
      </c>
      <c r="E575" s="26">
        <f>F575</f>
        <v>92.91882</v>
      </c>
      <c r="F575" s="26">
        <f>ROUND(92.9188187702106,5)</f>
        <v>92.91882</v>
      </c>
      <c r="G575" s="24"/>
      <c r="H575" s="35"/>
    </row>
    <row r="576" spans="1:8" ht="12.75" customHeight="1">
      <c r="A576" s="22" t="s">
        <v>116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46097</v>
      </c>
      <c r="B577" s="22"/>
      <c r="C577" s="26">
        <f>ROUND(99.4126807622967,5)</f>
        <v>99.41268</v>
      </c>
      <c r="D577" s="26">
        <f>F577</f>
        <v>89.8215</v>
      </c>
      <c r="E577" s="26">
        <f>F577</f>
        <v>89.8215</v>
      </c>
      <c r="F577" s="26">
        <f>ROUND(89.8214972071999,5)</f>
        <v>89.8215</v>
      </c>
      <c r="G577" s="24"/>
      <c r="H577" s="35"/>
    </row>
    <row r="578" spans="1:8" ht="12.75" customHeight="1">
      <c r="A578" s="22" t="s">
        <v>117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46188</v>
      </c>
      <c r="B579" s="22"/>
      <c r="C579" s="26">
        <f>ROUND(99.4126807622967,5)</f>
        <v>99.41268</v>
      </c>
      <c r="D579" s="26">
        <f>F579</f>
        <v>88.4756</v>
      </c>
      <c r="E579" s="26">
        <f>F579</f>
        <v>88.4756</v>
      </c>
      <c r="F579" s="26">
        <f>ROUND(88.4756039461372,5)</f>
        <v>88.4756</v>
      </c>
      <c r="G579" s="24"/>
      <c r="H579" s="35"/>
    </row>
    <row r="580" spans="1:8" ht="12.75" customHeight="1">
      <c r="A580" s="22" t="s">
        <v>118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46286</v>
      </c>
      <c r="B581" s="22"/>
      <c r="C581" s="26">
        <f>ROUND(99.4126807622967,5)</f>
        <v>99.41268</v>
      </c>
      <c r="D581" s="26">
        <f>F581</f>
        <v>90.57342</v>
      </c>
      <c r="E581" s="26">
        <f>F581</f>
        <v>90.57342</v>
      </c>
      <c r="F581" s="26">
        <f>ROUND(90.5734180105072,5)</f>
        <v>90.57342</v>
      </c>
      <c r="G581" s="24"/>
      <c r="H581" s="35"/>
    </row>
    <row r="582" spans="1:8" ht="12.75" customHeight="1">
      <c r="A582" s="22" t="s">
        <v>119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46377</v>
      </c>
      <c r="B583" s="22"/>
      <c r="C583" s="26">
        <f>ROUND(99.4126807622967,5)</f>
        <v>99.41268</v>
      </c>
      <c r="D583" s="26">
        <f>F583</f>
        <v>94.32448</v>
      </c>
      <c r="E583" s="26">
        <f>F583</f>
        <v>94.32448</v>
      </c>
      <c r="F583" s="26">
        <f>ROUND(94.3244760013476,5)</f>
        <v>94.32448</v>
      </c>
      <c r="G583" s="24"/>
      <c r="H583" s="35"/>
    </row>
    <row r="584" spans="1:8" ht="12.75" customHeight="1">
      <c r="A584" s="22" t="s">
        <v>120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46461</v>
      </c>
      <c r="B585" s="22"/>
      <c r="C585" s="26">
        <f>ROUND(99.4126807622967,5)</f>
        <v>99.41268</v>
      </c>
      <c r="D585" s="26">
        <f>F585</f>
        <v>92.81079</v>
      </c>
      <c r="E585" s="26">
        <f>F585</f>
        <v>92.81079</v>
      </c>
      <c r="F585" s="26">
        <f>ROUND(92.8107879036415,5)</f>
        <v>92.81079</v>
      </c>
      <c r="G585" s="24"/>
      <c r="H585" s="35"/>
    </row>
    <row r="586" spans="1:8" ht="12.75" customHeight="1">
      <c r="A586" s="22" t="s">
        <v>121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46559</v>
      </c>
      <c r="B587" s="22"/>
      <c r="C587" s="26">
        <f>ROUND(99.4126807622967,5)</f>
        <v>99.41268</v>
      </c>
      <c r="D587" s="26">
        <f>F587</f>
        <v>94.82875</v>
      </c>
      <c r="E587" s="26">
        <f>F587</f>
        <v>94.82875</v>
      </c>
      <c r="F587" s="26">
        <f>ROUND(94.8287527155921,5)</f>
        <v>94.82875</v>
      </c>
      <c r="G587" s="24"/>
      <c r="H587" s="35"/>
    </row>
    <row r="588" spans="1:8" ht="12.75" customHeight="1">
      <c r="A588" s="22" t="s">
        <v>122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46650</v>
      </c>
      <c r="B589" s="22"/>
      <c r="C589" s="26">
        <f>ROUND(99.4126807622967,5)</f>
        <v>99.41268</v>
      </c>
      <c r="D589" s="26">
        <f>F589</f>
        <v>98.53009</v>
      </c>
      <c r="E589" s="26">
        <f>F589</f>
        <v>98.53009</v>
      </c>
      <c r="F589" s="26">
        <f>ROUND(98.5300863985004,5)</f>
        <v>98.53009</v>
      </c>
      <c r="G589" s="24"/>
      <c r="H589" s="35"/>
    </row>
    <row r="590" spans="1:8" ht="12.75" customHeight="1">
      <c r="A590" s="22" t="s">
        <v>123</v>
      </c>
      <c r="B590" s="22"/>
      <c r="C590" s="23"/>
      <c r="D590" s="23"/>
      <c r="E590" s="23"/>
      <c r="F590" s="23"/>
      <c r="G590" s="24"/>
      <c r="H590" s="35"/>
    </row>
    <row r="591" spans="1:8" ht="12.75" customHeight="1" thickBot="1">
      <c r="A591" s="32">
        <v>46924</v>
      </c>
      <c r="B591" s="32"/>
      <c r="C591" s="33">
        <f>ROUND(99.4126807622967,2)</f>
        <v>99.41</v>
      </c>
      <c r="D591" s="33">
        <f>F591</f>
        <v>99.41</v>
      </c>
      <c r="E591" s="33">
        <f>F591</f>
        <v>99.41</v>
      </c>
      <c r="F591" s="33">
        <f>ROUND(99.4126807622967,2)</f>
        <v>99.41</v>
      </c>
      <c r="G591" s="33"/>
      <c r="H591" s="36"/>
    </row>
  </sheetData>
  <sheetProtection/>
  <mergeCells count="590"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2018-04-05T15:54:35Z</dcterms:modified>
  <cp:category/>
  <cp:version/>
  <cp:contentType/>
  <cp:contentStatus/>
</cp:coreProperties>
</file>