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'Jerry'!$A$1:$H$580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<sst xmlns="http://schemas.openxmlformats.org/spreadsheetml/2006/main" count="127" uniqueCount="123">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</sst>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9"/>
  <sheetViews>
    <sheetView tabSelected="1" zoomScaleSheetLayoutView="75" zoomScalePageLayoutView="0" workbookViewId="0" topLeftCell="A31">
      <selection activeCell="A37" sqref="A37:B3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ROUND(100.190332865468,2)</f>
        <v>100.19</v>
      </c>
      <c r="D6" s="24">
        <f>F6</f>
        <v>99.91</v>
      </c>
      <c r="E6" s="24">
        <f>F6</f>
        <v>99.91</v>
      </c>
      <c r="F6" s="24">
        <f>ROUND(99.907161879875,2)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ROUND(100.190332865468,2)</f>
        <v>100.19</v>
      </c>
      <c r="D7" s="24">
        <f>F7</f>
        <v>100.04</v>
      </c>
      <c r="E7" s="24">
        <f>F7</f>
        <v>100.04</v>
      </c>
      <c r="F7" s="24">
        <f>ROUND(100.039166794117,2)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ROUND(100.190332865468,2)</f>
        <v>100.19</v>
      </c>
      <c r="D8" s="24">
        <f>F8</f>
        <v>100.49</v>
      </c>
      <c r="E8" s="24">
        <f>F8</f>
        <v>100.49</v>
      </c>
      <c r="F8" s="24">
        <f>ROUND(100.494121892147,2)</f>
        <v>100.49</v>
      </c>
      <c r="G8" s="24"/>
      <c r="H8" s="35"/>
    </row>
    <row r="9" spans="1:8" ht="12.75" customHeight="1">
      <c r="A9" s="22">
        <v>43546</v>
      </c>
      <c r="B9" s="22"/>
      <c r="C9" s="24">
        <f>ROUND(100.190332865468,2)</f>
        <v>100.19</v>
      </c>
      <c r="D9" s="24">
        <f>F9</f>
        <v>99.5</v>
      </c>
      <c r="E9" s="24">
        <f>F9</f>
        <v>99.5</v>
      </c>
      <c r="F9" s="24">
        <f>ROUND(99.5033652235404,2)</f>
        <v>99.5</v>
      </c>
      <c r="G9" s="24"/>
      <c r="H9" s="35"/>
    </row>
    <row r="10" spans="1:8" ht="12.75" customHeight="1">
      <c r="A10" s="22">
        <v>43636</v>
      </c>
      <c r="B10" s="22"/>
      <c r="C10" s="24">
        <f>ROUND(100.190332865468,2)</f>
        <v>100.19</v>
      </c>
      <c r="D10" s="24">
        <f>F10</f>
        <v>100.19</v>
      </c>
      <c r="E10" s="24">
        <f>F10</f>
        <v>100.19</v>
      </c>
      <c r="F10" s="24">
        <f>ROUND(100.190332865468,2)</f>
        <v>100.19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ROUND(100.563712432429,2)</f>
        <v>100.56</v>
      </c>
      <c r="D12" s="24">
        <f>F12</f>
        <v>98.59</v>
      </c>
      <c r="E12" s="24">
        <f>F12</f>
        <v>98.59</v>
      </c>
      <c r="F12" s="24">
        <f>ROUND(98.5931735301463,2)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ROUND(100.563712432429,2)</f>
        <v>100.56</v>
      </c>
      <c r="D13" s="24">
        <f>F13</f>
        <v>98.51</v>
      </c>
      <c r="E13" s="24">
        <f>F13</f>
        <v>98.51</v>
      </c>
      <c r="F13" s="24">
        <f>ROUND(98.5092802684228,2)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ROUND(100.563712432429,2)</f>
        <v>100.56</v>
      </c>
      <c r="D14" s="24">
        <f>F14</f>
        <v>98.87</v>
      </c>
      <c r="E14" s="24">
        <f>F14</f>
        <v>98.87</v>
      </c>
      <c r="F14" s="24">
        <f>ROUND(98.8742889569252,2)</f>
        <v>98.87</v>
      </c>
      <c r="G14" s="24"/>
      <c r="H14" s="35"/>
    </row>
    <row r="15" spans="1:8" ht="12.75" customHeight="1">
      <c r="A15" s="22">
        <v>43539</v>
      </c>
      <c r="B15" s="22"/>
      <c r="C15" s="24">
        <f>ROUND(100.563712432429,2)</f>
        <v>100.56</v>
      </c>
      <c r="D15" s="24">
        <f>F15</f>
        <v>99.25</v>
      </c>
      <c r="E15" s="24">
        <f>F15</f>
        <v>99.25</v>
      </c>
      <c r="F15" s="24">
        <f>ROUND(99.2498024602843,2)</f>
        <v>99.25</v>
      </c>
      <c r="G15" s="24"/>
      <c r="H15" s="35"/>
    </row>
    <row r="16" spans="1:8" ht="12.75" customHeight="1">
      <c r="A16" s="22">
        <v>43637</v>
      </c>
      <c r="B16" s="22"/>
      <c r="C16" s="24">
        <f>ROUND(100.563712432429,2)</f>
        <v>100.56</v>
      </c>
      <c r="D16" s="24">
        <f>F16</f>
        <v>99.64</v>
      </c>
      <c r="E16" s="24">
        <f>F16</f>
        <v>99.64</v>
      </c>
      <c r="F16" s="24">
        <f>ROUND(99.6418723243816,2)</f>
        <v>99.64</v>
      </c>
      <c r="G16" s="24"/>
      <c r="H16" s="35"/>
    </row>
    <row r="17" spans="1:8" ht="12.75" customHeight="1">
      <c r="A17" s="22">
        <v>43728</v>
      </c>
      <c r="B17" s="22"/>
      <c r="C17" s="24">
        <f>ROUND(100.563712432429,2)</f>
        <v>100.56</v>
      </c>
      <c r="D17" s="24">
        <f>F17</f>
        <v>100.03</v>
      </c>
      <c r="E17" s="24">
        <f>F17</f>
        <v>100.03</v>
      </c>
      <c r="F17" s="24">
        <f>ROUND(100.02513710696,2)</f>
        <v>100.03</v>
      </c>
      <c r="G17" s="24"/>
      <c r="H17" s="35"/>
    </row>
    <row r="18" spans="1:8" ht="12.75" customHeight="1">
      <c r="A18" s="22">
        <v>43819</v>
      </c>
      <c r="B18" s="22"/>
      <c r="C18" s="24">
        <f>ROUND(100.563712432429,2)</f>
        <v>100.56</v>
      </c>
      <c r="D18" s="24">
        <f>F18</f>
        <v>100.96</v>
      </c>
      <c r="E18" s="24">
        <f>F18</f>
        <v>100.96</v>
      </c>
      <c r="F18" s="24">
        <f>ROUND(100.961207896033,2)</f>
        <v>100.96</v>
      </c>
      <c r="G18" s="24"/>
      <c r="H18" s="35"/>
    </row>
    <row r="19" spans="1:8" ht="12.75" customHeight="1">
      <c r="A19" s="22">
        <v>43913</v>
      </c>
      <c r="B19" s="22"/>
      <c r="C19" s="24">
        <f>ROUND(100.563712432429,2)</f>
        <v>100.56</v>
      </c>
      <c r="D19" s="24">
        <f>F19</f>
        <v>98.7</v>
      </c>
      <c r="E19" s="24">
        <f>F19</f>
        <v>98.7</v>
      </c>
      <c r="F19" s="24">
        <f>ROUND(98.700670616467,2)</f>
        <v>98.7</v>
      </c>
      <c r="G19" s="24"/>
      <c r="H19" s="35"/>
    </row>
    <row r="20" spans="1:8" ht="12.75" customHeight="1">
      <c r="A20" s="22">
        <v>44004</v>
      </c>
      <c r="B20" s="22"/>
      <c r="C20" s="24">
        <f>ROUND(100.563712432429,2)</f>
        <v>100.56</v>
      </c>
      <c r="D20" s="24">
        <f>F20</f>
        <v>100.56</v>
      </c>
      <c r="E20" s="24">
        <f>F20</f>
        <v>100.56</v>
      </c>
      <c r="F20" s="24">
        <f>ROUND(100.563712432429,2)</f>
        <v>100.56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ROUND(101.12060984234,2)</f>
        <v>101.12</v>
      </c>
      <c r="D22" s="24">
        <f>F22</f>
        <v>96.13</v>
      </c>
      <c r="E22" s="24">
        <f>F22</f>
        <v>96.13</v>
      </c>
      <c r="F22" s="24">
        <f>ROUND(96.1259068063303,2)</f>
        <v>96.13</v>
      </c>
      <c r="G22" s="24"/>
      <c r="H22" s="35"/>
    </row>
    <row r="23" spans="1:8" ht="12.75" customHeight="1">
      <c r="A23" s="22">
        <v>44271</v>
      </c>
      <c r="B23" s="22"/>
      <c r="C23" s="24">
        <f>ROUND(101.12060984234,2)</f>
        <v>101.12</v>
      </c>
      <c r="D23" s="24">
        <f>F23</f>
        <v>95.34</v>
      </c>
      <c r="E23" s="24">
        <f>F23</f>
        <v>95.34</v>
      </c>
      <c r="F23" s="24">
        <f>ROUND(95.3368956410571,2)</f>
        <v>95.34</v>
      </c>
      <c r="G23" s="24"/>
      <c r="H23" s="35"/>
    </row>
    <row r="24" spans="1:8" ht="12.75" customHeight="1">
      <c r="A24" s="22">
        <v>44362</v>
      </c>
      <c r="B24" s="22"/>
      <c r="C24" s="24">
        <f>ROUND(101.12060984234,2)</f>
        <v>101.12</v>
      </c>
      <c r="D24" s="24">
        <f>F24</f>
        <v>94.52</v>
      </c>
      <c r="E24" s="24">
        <f>F24</f>
        <v>94.52</v>
      </c>
      <c r="F24" s="24">
        <f>ROUND(94.519623256786,2)</f>
        <v>94.52</v>
      </c>
      <c r="G24" s="24"/>
      <c r="H24" s="35"/>
    </row>
    <row r="25" spans="1:8" ht="12.75" customHeight="1">
      <c r="A25" s="22">
        <v>44460</v>
      </c>
      <c r="B25" s="22"/>
      <c r="C25" s="24">
        <f>ROUND(101.12060984234,2)</f>
        <v>101.12</v>
      </c>
      <c r="D25" s="24">
        <f>F25</f>
        <v>94.7</v>
      </c>
      <c r="E25" s="24">
        <f>F25</f>
        <v>94.7</v>
      </c>
      <c r="F25" s="24">
        <f>ROUND(94.6991956809933,2)</f>
        <v>94.7</v>
      </c>
      <c r="G25" s="24"/>
      <c r="H25" s="35"/>
    </row>
    <row r="26" spans="1:8" ht="12.75" customHeight="1">
      <c r="A26" s="22">
        <v>44551</v>
      </c>
      <c r="B26" s="22"/>
      <c r="C26" s="24">
        <f>ROUND(101.12060984234,2)</f>
        <v>101.12</v>
      </c>
      <c r="D26" s="24">
        <f>F26</f>
        <v>96.9</v>
      </c>
      <c r="E26" s="24">
        <f>F26</f>
        <v>96.9</v>
      </c>
      <c r="F26" s="24">
        <f>ROUND(96.9027027454117,2)</f>
        <v>96.9</v>
      </c>
      <c r="G26" s="24"/>
      <c r="H26" s="35"/>
    </row>
    <row r="27" spans="1:8" ht="12.75" customHeight="1">
      <c r="A27" s="22">
        <v>44635</v>
      </c>
      <c r="B27" s="22"/>
      <c r="C27" s="24">
        <f>ROUND(101.12060984234,2)</f>
        <v>101.12</v>
      </c>
      <c r="D27" s="24">
        <f>F27</f>
        <v>97.04</v>
      </c>
      <c r="E27" s="24">
        <f>F27</f>
        <v>97.04</v>
      </c>
      <c r="F27" s="24">
        <f>ROUND(97.0409866417738,2)</f>
        <v>97.04</v>
      </c>
      <c r="G27" s="24"/>
      <c r="H27" s="35"/>
    </row>
    <row r="28" spans="1:8" ht="12.75" customHeight="1">
      <c r="A28" s="22">
        <v>44733</v>
      </c>
      <c r="B28" s="22"/>
      <c r="C28" s="24">
        <f>ROUND(101.12060984234,2)</f>
        <v>101.12</v>
      </c>
      <c r="D28" s="24">
        <f>F28</f>
        <v>98.24</v>
      </c>
      <c r="E28" s="24">
        <f>F28</f>
        <v>98.24</v>
      </c>
      <c r="F28" s="24">
        <f>ROUND(98.2436238669534,2)</f>
        <v>98.24</v>
      </c>
      <c r="G28" s="24"/>
      <c r="H28" s="35"/>
    </row>
    <row r="29" spans="1:8" ht="12.75" customHeight="1">
      <c r="A29" s="22">
        <v>44824</v>
      </c>
      <c r="B29" s="22"/>
      <c r="C29" s="24">
        <f>ROUND(101.12060984234,2)</f>
        <v>101.12</v>
      </c>
      <c r="D29" s="24">
        <f>F29</f>
        <v>100.45</v>
      </c>
      <c r="E29" s="24">
        <f>F29</f>
        <v>100.45</v>
      </c>
      <c r="F29" s="24">
        <f>ROUND(100.44920595979,2)</f>
        <v>100.45</v>
      </c>
      <c r="G29" s="24"/>
      <c r="H29" s="35"/>
    </row>
    <row r="30" spans="1:8" ht="12.75" customHeight="1">
      <c r="A30" s="22">
        <v>44915</v>
      </c>
      <c r="B30" s="22"/>
      <c r="C30" s="24">
        <f>ROUND(101.12060984234,2)</f>
        <v>101.12</v>
      </c>
      <c r="D30" s="24">
        <f>F30</f>
        <v>101.7</v>
      </c>
      <c r="E30" s="24">
        <f>F30</f>
        <v>101.7</v>
      </c>
      <c r="F30" s="24">
        <f>ROUND(101.702280293744,2)</f>
        <v>101.7</v>
      </c>
      <c r="G30" s="24"/>
      <c r="H30" s="35"/>
    </row>
    <row r="31" spans="1:8" ht="12.75" customHeight="1">
      <c r="A31" s="22">
        <v>45007</v>
      </c>
      <c r="B31" s="22"/>
      <c r="C31" s="24">
        <f>ROUND(101.12060984234,2)</f>
        <v>101.12</v>
      </c>
      <c r="D31" s="24">
        <f>F31</f>
        <v>96.81</v>
      </c>
      <c r="E31" s="24">
        <f>F31</f>
        <v>96.81</v>
      </c>
      <c r="F31" s="24">
        <f>ROUND(96.8083995970021,2)</f>
        <v>96.81</v>
      </c>
      <c r="G31" s="24"/>
      <c r="H31" s="35"/>
    </row>
    <row r="32" spans="1:8" ht="12.75" customHeight="1">
      <c r="A32" s="22">
        <v>45097</v>
      </c>
      <c r="B32" s="22"/>
      <c r="C32" s="24">
        <f>ROUND(101.12060984234,2)</f>
        <v>101.12</v>
      </c>
      <c r="D32" s="24">
        <f>F32</f>
        <v>101.12</v>
      </c>
      <c r="E32" s="24">
        <f>F32</f>
        <v>101.12</v>
      </c>
      <c r="F32" s="24">
        <f>ROUND(101.12060984234,2)</f>
        <v>101.12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ROUND(101.796490631386,2)</f>
        <v>101.8</v>
      </c>
      <c r="D34" s="24">
        <f>F34</f>
        <v>94.89</v>
      </c>
      <c r="E34" s="24">
        <f>F34</f>
        <v>94.89</v>
      </c>
      <c r="F34" s="24">
        <f>ROUND(94.8852544418615,2)</f>
        <v>94.89</v>
      </c>
      <c r="G34" s="24"/>
      <c r="H34" s="35"/>
    </row>
    <row r="35" spans="1:8" ht="12.75" customHeight="1">
      <c r="A35" s="22">
        <v>46097</v>
      </c>
      <c r="B35" s="22"/>
      <c r="C35" s="24">
        <f>ROUND(101.796490631386,2)</f>
        <v>101.8</v>
      </c>
      <c r="D35" s="24">
        <f>F35</f>
        <v>91.89</v>
      </c>
      <c r="E35" s="24">
        <f>F35</f>
        <v>91.89</v>
      </c>
      <c r="F35" s="24">
        <f>ROUND(91.8855906376301,2)</f>
        <v>91.89</v>
      </c>
      <c r="G35" s="24"/>
      <c r="H35" s="35"/>
    </row>
    <row r="36" spans="1:8" ht="12.75" customHeight="1">
      <c r="A36" s="22">
        <v>46188</v>
      </c>
      <c r="B36" s="22"/>
      <c r="C36" s="24">
        <f>ROUND(101.796490631386,2)</f>
        <v>101.8</v>
      </c>
      <c r="D36" s="24">
        <f>F36</f>
        <v>90.61</v>
      </c>
      <c r="E36" s="24">
        <f>F36</f>
        <v>90.61</v>
      </c>
      <c r="F36" s="24">
        <f>ROUND(90.6120523809399,2)</f>
        <v>90.61</v>
      </c>
      <c r="G36" s="24"/>
      <c r="H36" s="35"/>
    </row>
    <row r="37" spans="1:8" ht="12.75" customHeight="1">
      <c r="A37" s="22">
        <v>46286</v>
      </c>
      <c r="B37" s="22"/>
      <c r="C37" s="24">
        <f>ROUND(101.796490631386,2)</f>
        <v>101.8</v>
      </c>
      <c r="D37" s="24">
        <f>F37</f>
        <v>92.75</v>
      </c>
      <c r="E37" s="24">
        <f>F37</f>
        <v>92.75</v>
      </c>
      <c r="F37" s="24">
        <f>ROUND(92.7472917217622,2)</f>
        <v>92.75</v>
      </c>
      <c r="G37" s="24"/>
      <c r="H37" s="35"/>
    </row>
    <row r="38" spans="1:8" ht="12.75" customHeight="1">
      <c r="A38" s="22">
        <v>46377</v>
      </c>
      <c r="B38" s="22"/>
      <c r="C38" s="24">
        <f>ROUND(101.796490631386,2)</f>
        <v>101.8</v>
      </c>
      <c r="D38" s="24">
        <f>F38</f>
        <v>96.5</v>
      </c>
      <c r="E38" s="24">
        <f>F38</f>
        <v>96.5</v>
      </c>
      <c r="F38" s="24">
        <f>ROUND(96.5006788904859,2)</f>
        <v>96.5</v>
      </c>
      <c r="G38" s="24"/>
      <c r="H38" s="35"/>
    </row>
    <row r="39" spans="1:8" ht="12.75" customHeight="1">
      <c r="A39" s="22">
        <v>46461</v>
      </c>
      <c r="B39" s="22"/>
      <c r="C39" s="24">
        <f>ROUND(101.796490631386,2)</f>
        <v>101.8</v>
      </c>
      <c r="D39" s="24">
        <f>F39</f>
        <v>95.03</v>
      </c>
      <c r="E39" s="24">
        <f>F39</f>
        <v>95.03</v>
      </c>
      <c r="F39" s="24">
        <f>ROUND(95.0345051833623,2)</f>
        <v>95.03</v>
      </c>
      <c r="G39" s="24"/>
      <c r="H39" s="35"/>
    </row>
    <row r="40" spans="1:8" ht="12.75" customHeight="1">
      <c r="A40" s="22">
        <v>46559</v>
      </c>
      <c r="B40" s="22"/>
      <c r="C40" s="24">
        <f>ROUND(101.796490631386,2)</f>
        <v>101.8</v>
      </c>
      <c r="D40" s="24">
        <f>F40</f>
        <v>97.08</v>
      </c>
      <c r="E40" s="24">
        <f>F40</f>
        <v>97.08</v>
      </c>
      <c r="F40" s="24">
        <f>ROUND(97.0834777494749,2)</f>
        <v>97.08</v>
      </c>
      <c r="G40" s="24"/>
      <c r="H40" s="35"/>
    </row>
    <row r="41" spans="1:8" ht="12.75" customHeight="1">
      <c r="A41" s="22">
        <v>46650</v>
      </c>
      <c r="B41" s="22"/>
      <c r="C41" s="24">
        <f>ROUND(101.796490631386,2)</f>
        <v>101.8</v>
      </c>
      <c r="D41" s="24">
        <f>F41</f>
        <v>100.79</v>
      </c>
      <c r="E41" s="24">
        <f>F41</f>
        <v>100.79</v>
      </c>
      <c r="F41" s="24">
        <f>ROUND(100.789019324143,2)</f>
        <v>100.79</v>
      </c>
      <c r="G41" s="24"/>
      <c r="H41" s="35"/>
    </row>
    <row r="42" spans="1:8" ht="12.75" customHeight="1">
      <c r="A42" s="22">
        <v>46741</v>
      </c>
      <c r="B42" s="22"/>
      <c r="C42" s="24">
        <f>ROUND(101.796490631386,2)</f>
        <v>101.8</v>
      </c>
      <c r="D42" s="24">
        <f>F42</f>
        <v>101.13</v>
      </c>
      <c r="E42" s="24">
        <f>F42</f>
        <v>101.13</v>
      </c>
      <c r="F42" s="24">
        <f>ROUND(101.12595694853,2)</f>
        <v>101.13</v>
      </c>
      <c r="G42" s="24"/>
      <c r="H42" s="35"/>
    </row>
    <row r="43" spans="1:8" ht="12.75" customHeight="1">
      <c r="A43" s="22">
        <v>46834</v>
      </c>
      <c r="B43" s="22"/>
      <c r="C43" s="24">
        <f>ROUND(101.796490631386,2)</f>
        <v>101.8</v>
      </c>
      <c r="D43" s="24">
        <f>F43</f>
        <v>96.36</v>
      </c>
      <c r="E43" s="24">
        <f>F43</f>
        <v>96.36</v>
      </c>
      <c r="F43" s="24">
        <f>ROUND(96.3557078827459,2)</f>
        <v>96.36</v>
      </c>
      <c r="G43" s="24"/>
      <c r="H43" s="35"/>
    </row>
    <row r="44" spans="1:8" ht="12.75" customHeight="1">
      <c r="A44" s="22">
        <v>46924</v>
      </c>
      <c r="B44" s="22"/>
      <c r="C44" s="24">
        <f>ROUND(101.796490631386,2)</f>
        <v>101.8</v>
      </c>
      <c r="D44" s="24">
        <f>F44</f>
        <v>101.8</v>
      </c>
      <c r="E44" s="24">
        <f>F44</f>
        <v>101.8</v>
      </c>
      <c r="F44" s="24">
        <f>ROUND(101.796490631386,2)</f>
        <v>101.8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ROUND(2.38,5)</f>
        <v>2.38</v>
      </c>
      <c r="D46" s="26">
        <f>F46</f>
        <v>2.38</v>
      </c>
      <c r="E46" s="26">
        <f>F46</f>
        <v>2.38</v>
      </c>
      <c r="F46" s="26">
        <f>ROUND(2.38,5)</f>
        <v>2.38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ROUND(2.86,5)</f>
        <v>2.86</v>
      </c>
      <c r="D50" s="26">
        <f>F50</f>
        <v>2.86</v>
      </c>
      <c r="E50" s="26">
        <f>F50</f>
        <v>2.86</v>
      </c>
      <c r="F50" s="26">
        <f>ROUND(2.86,5)</f>
        <v>2.86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ROUND(3.36,5)</f>
        <v>3.36</v>
      </c>
      <c r="D52" s="26">
        <f>F52</f>
        <v>3.36</v>
      </c>
      <c r="E52" s="26">
        <f>F52</f>
        <v>3.36</v>
      </c>
      <c r="F52" s="26">
        <f>ROUND(3.36,5)</f>
        <v>3.36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ROUND(10.595,5)</f>
        <v>10.595</v>
      </c>
      <c r="D54" s="26">
        <f>F54</f>
        <v>10.595</v>
      </c>
      <c r="E54" s="26">
        <f>F54</f>
        <v>10.595</v>
      </c>
      <c r="F54" s="26">
        <f>ROUND(10.595,5)</f>
        <v>10.595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ROUND(7.915,5)</f>
        <v>7.915</v>
      </c>
      <c r="D56" s="26">
        <f>F56</f>
        <v>7.915</v>
      </c>
      <c r="E56" s="26">
        <f>F56</f>
        <v>7.915</v>
      </c>
      <c r="F56" s="26">
        <f>ROUND(7.915,5)</f>
        <v>7.915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ROUND(8.545,3)</f>
        <v>8.545</v>
      </c>
      <c r="D58" s="27">
        <f>F58</f>
        <v>8.545</v>
      </c>
      <c r="E58" s="27">
        <f>F58</f>
        <v>8.545</v>
      </c>
      <c r="F58" s="27">
        <f>ROUND(8.545,3)</f>
        <v>8.545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ROUND(6.735,3)</f>
        <v>6.735</v>
      </c>
      <c r="D64" s="27">
        <f>F64</f>
        <v>6.735</v>
      </c>
      <c r="E64" s="27">
        <f>F64</f>
        <v>6.735</v>
      </c>
      <c r="F64" s="27">
        <f>ROUND(6.735,3)</f>
        <v>6.735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ROUND(7.315,3)</f>
        <v>7.315</v>
      </c>
      <c r="D66" s="27">
        <f>F66</f>
        <v>7.315</v>
      </c>
      <c r="E66" s="27">
        <f>F66</f>
        <v>7.315</v>
      </c>
      <c r="F66" s="27">
        <f>ROUND(7.315,3)</f>
        <v>7.315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ROUND(7.555,3)</f>
        <v>7.555</v>
      </c>
      <c r="D68" s="27">
        <f>F68</f>
        <v>7.555</v>
      </c>
      <c r="E68" s="27">
        <f>F68</f>
        <v>7.555</v>
      </c>
      <c r="F68" s="27">
        <f>ROUND(7.555,3)</f>
        <v>7.555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ROUND(9.265,3)</f>
        <v>9.265</v>
      </c>
      <c r="D70" s="27">
        <f>F70</f>
        <v>9.265</v>
      </c>
      <c r="E70" s="27">
        <f>F70</f>
        <v>9.265</v>
      </c>
      <c r="F70" s="27">
        <f>ROUND(9.265,3)</f>
        <v>9.265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ROUND(2.58,3)</f>
        <v>2.58</v>
      </c>
      <c r="D72" s="27">
        <f>F72</f>
        <v>2.58</v>
      </c>
      <c r="E72" s="27">
        <f>F72</f>
        <v>2.58</v>
      </c>
      <c r="F72" s="27">
        <f>ROUND(2.58,3)</f>
        <v>2.58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ROUND(2.18,3)</f>
        <v>2.18</v>
      </c>
      <c r="D74" s="27">
        <f>F74</f>
        <v>2.18</v>
      </c>
      <c r="E74" s="27">
        <f>F74</f>
        <v>2.18</v>
      </c>
      <c r="F74" s="27">
        <f>ROUND(2.18,3)</f>
        <v>2.18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ROUND(9.045,3)</f>
        <v>9.045</v>
      </c>
      <c r="D76" s="27">
        <f>F76</f>
        <v>9.045</v>
      </c>
      <c r="E76" s="27">
        <f>F76</f>
        <v>9.045</v>
      </c>
      <c r="F76" s="27">
        <f>ROUND(9.045,3)</f>
        <v>9.045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ROUND(2.38,5)</f>
        <v>2.38</v>
      </c>
      <c r="D78" s="26">
        <f>F78</f>
        <v>134.314</v>
      </c>
      <c r="E78" s="26">
        <f>F78</f>
        <v>134.314</v>
      </c>
      <c r="F78" s="26">
        <f>ROUND(134.314,5)</f>
        <v>134.314</v>
      </c>
      <c r="G78" s="24"/>
      <c r="H78" s="35"/>
    </row>
    <row r="79" spans="1:8" ht="12.75" customHeight="1">
      <c r="A79" s="22">
        <v>43405</v>
      </c>
      <c r="B79" s="22"/>
      <c r="C79" s="26">
        <f>ROUND(2.38,5)</f>
        <v>2.38</v>
      </c>
      <c r="D79" s="26">
        <f>F79</f>
        <v>136.74417</v>
      </c>
      <c r="E79" s="26">
        <f>F79</f>
        <v>136.74417</v>
      </c>
      <c r="F79" s="26">
        <f>ROUND(136.74417,5)</f>
        <v>136.74417</v>
      </c>
      <c r="G79" s="24"/>
      <c r="H79" s="35"/>
    </row>
    <row r="80" spans="1:8" ht="12.75" customHeight="1">
      <c r="A80" s="22">
        <v>43503</v>
      </c>
      <c r="B80" s="22"/>
      <c r="C80" s="26">
        <f>ROUND(2.38,5)</f>
        <v>2.38</v>
      </c>
      <c r="D80" s="26">
        <f>F80</f>
        <v>138.01225</v>
      </c>
      <c r="E80" s="26">
        <f>F80</f>
        <v>138.01225</v>
      </c>
      <c r="F80" s="26">
        <f>ROUND(138.01225,5)</f>
        <v>138.01225</v>
      </c>
      <c r="G80" s="24"/>
      <c r="H80" s="35"/>
    </row>
    <row r="81" spans="1:8" ht="12.75" customHeight="1">
      <c r="A81" s="22">
        <v>43587</v>
      </c>
      <c r="B81" s="22"/>
      <c r="C81" s="26">
        <f>ROUND(2.38,5)</f>
        <v>2.38</v>
      </c>
      <c r="D81" s="26">
        <f>F81</f>
        <v>140.37806</v>
      </c>
      <c r="E81" s="26">
        <f>F81</f>
        <v>140.37806</v>
      </c>
      <c r="F81" s="26">
        <f>ROUND(140.37806,5)</f>
        <v>140.37806</v>
      </c>
      <c r="G81" s="24"/>
      <c r="H81" s="35"/>
    </row>
    <row r="82" spans="1:8" ht="12.75" customHeight="1">
      <c r="A82" s="22">
        <v>43678</v>
      </c>
      <c r="B82" s="22"/>
      <c r="C82" s="26">
        <f>ROUND(2.38,5)</f>
        <v>2.38</v>
      </c>
      <c r="D82" s="26">
        <f>F82</f>
        <v>142.85085</v>
      </c>
      <c r="E82" s="26">
        <f>F82</f>
        <v>142.85085</v>
      </c>
      <c r="F82" s="26">
        <f>ROUND(142.85085,5)</f>
        <v>142.85085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ROUND(100.72502,5)</f>
        <v>100.72502</v>
      </c>
      <c r="D84" s="26">
        <f>F84</f>
        <v>102.1997</v>
      </c>
      <c r="E84" s="26">
        <f>F84</f>
        <v>102.1997</v>
      </c>
      <c r="F84" s="26">
        <f>ROUND(102.1997,5)</f>
        <v>102.1997</v>
      </c>
      <c r="G84" s="24"/>
      <c r="H84" s="35"/>
    </row>
    <row r="85" spans="1:8" ht="12.75" customHeight="1">
      <c r="A85" s="22">
        <v>43405</v>
      </c>
      <c r="B85" s="22"/>
      <c r="C85" s="26">
        <f>ROUND(100.72502,5)</f>
        <v>100.72502</v>
      </c>
      <c r="D85" s="26">
        <f>F85</f>
        <v>102.99932</v>
      </c>
      <c r="E85" s="26">
        <f>F85</f>
        <v>102.99932</v>
      </c>
      <c r="F85" s="26">
        <f>ROUND(102.99932,5)</f>
        <v>102.99932</v>
      </c>
      <c r="G85" s="24"/>
      <c r="H85" s="35"/>
    </row>
    <row r="86" spans="1:8" ht="12.75" customHeight="1">
      <c r="A86" s="22">
        <v>43503</v>
      </c>
      <c r="B86" s="22"/>
      <c r="C86" s="26">
        <f>ROUND(100.72502,5)</f>
        <v>100.72502</v>
      </c>
      <c r="D86" s="26">
        <f>F86</f>
        <v>105.01918</v>
      </c>
      <c r="E86" s="26">
        <f>F86</f>
        <v>105.01918</v>
      </c>
      <c r="F86" s="26">
        <f>ROUND(105.01918,5)</f>
        <v>105.01918</v>
      </c>
      <c r="G86" s="24"/>
      <c r="H86" s="35"/>
    </row>
    <row r="87" spans="1:8" ht="12.75" customHeight="1">
      <c r="A87" s="22">
        <v>43587</v>
      </c>
      <c r="B87" s="22"/>
      <c r="C87" s="26">
        <f>ROUND(100.72502,5)</f>
        <v>100.72502</v>
      </c>
      <c r="D87" s="26">
        <f>F87</f>
        <v>105.7487</v>
      </c>
      <c r="E87" s="26">
        <f>F87</f>
        <v>105.7487</v>
      </c>
      <c r="F87" s="26">
        <f>ROUND(105.7487,5)</f>
        <v>105.7487</v>
      </c>
      <c r="G87" s="24"/>
      <c r="H87" s="35"/>
    </row>
    <row r="88" spans="1:8" ht="12.75" customHeight="1">
      <c r="A88" s="22">
        <v>43678</v>
      </c>
      <c r="B88" s="22"/>
      <c r="C88" s="26">
        <f>ROUND(100.72502,5)</f>
        <v>100.72502</v>
      </c>
      <c r="D88" s="26">
        <f>F88</f>
        <v>107.61108</v>
      </c>
      <c r="E88" s="26">
        <f>F88</f>
        <v>107.61108</v>
      </c>
      <c r="F88" s="26">
        <f>ROUND(107.61108,5)</f>
        <v>107.61108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ROUND(8.96,5)</f>
        <v>8.96</v>
      </c>
      <c r="D90" s="26">
        <f>F90</f>
        <v>9.01101</v>
      </c>
      <c r="E90" s="26">
        <f>F90</f>
        <v>9.01101</v>
      </c>
      <c r="F90" s="26">
        <f>ROUND(9.01101,5)</f>
        <v>9.01101</v>
      </c>
      <c r="G90" s="24"/>
      <c r="H90" s="35"/>
    </row>
    <row r="91" spans="1:8" ht="12.75" customHeight="1">
      <c r="A91" s="22">
        <v>43405</v>
      </c>
      <c r="B91" s="22"/>
      <c r="C91" s="26">
        <f>ROUND(8.96,5)</f>
        <v>8.96</v>
      </c>
      <c r="D91" s="26">
        <f>F91</f>
        <v>9.06884</v>
      </c>
      <c r="E91" s="26">
        <f>F91</f>
        <v>9.06884</v>
      </c>
      <c r="F91" s="26">
        <f>ROUND(9.06884,5)</f>
        <v>9.06884</v>
      </c>
      <c r="G91" s="24"/>
      <c r="H91" s="35"/>
    </row>
    <row r="92" spans="1:8" ht="12.75" customHeight="1">
      <c r="A92" s="22">
        <v>43503</v>
      </c>
      <c r="B92" s="22"/>
      <c r="C92" s="26">
        <f>ROUND(8.96,5)</f>
        <v>8.96</v>
      </c>
      <c r="D92" s="26">
        <f>F92</f>
        <v>9.13477</v>
      </c>
      <c r="E92" s="26">
        <f>F92</f>
        <v>9.13477</v>
      </c>
      <c r="F92" s="26">
        <f>ROUND(9.13477,5)</f>
        <v>9.13477</v>
      </c>
      <c r="G92" s="24"/>
      <c r="H92" s="35"/>
    </row>
    <row r="93" spans="1:8" ht="12.75" customHeight="1">
      <c r="A93" s="22">
        <v>43587</v>
      </c>
      <c r="B93" s="22"/>
      <c r="C93" s="26">
        <f>ROUND(8.96,5)</f>
        <v>8.96</v>
      </c>
      <c r="D93" s="26">
        <f>F93</f>
        <v>9.19081</v>
      </c>
      <c r="E93" s="26">
        <f>F93</f>
        <v>9.19081</v>
      </c>
      <c r="F93" s="26">
        <f>ROUND(9.19081,5)</f>
        <v>9.19081</v>
      </c>
      <c r="G93" s="24"/>
      <c r="H93" s="35"/>
    </row>
    <row r="94" spans="1:8" ht="12.75" customHeight="1">
      <c r="A94" s="22">
        <v>43678</v>
      </c>
      <c r="B94" s="22"/>
      <c r="C94" s="26">
        <f>ROUND(8.96,5)</f>
        <v>8.96</v>
      </c>
      <c r="D94" s="26">
        <f>F94</f>
        <v>9.26211</v>
      </c>
      <c r="E94" s="26">
        <f>F94</f>
        <v>9.26211</v>
      </c>
      <c r="F94" s="26">
        <f>ROUND(9.26211,5)</f>
        <v>9.26211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ROUND(9.135,5)</f>
        <v>9.135</v>
      </c>
      <c r="D96" s="26">
        <f>F96</f>
        <v>9.1837</v>
      </c>
      <c r="E96" s="26">
        <f>F96</f>
        <v>9.1837</v>
      </c>
      <c r="F96" s="26">
        <f>ROUND(9.1837,5)</f>
        <v>9.1837</v>
      </c>
      <c r="G96" s="24"/>
      <c r="H96" s="35"/>
    </row>
    <row r="97" spans="1:8" ht="12.75" customHeight="1">
      <c r="A97" s="22">
        <v>43405</v>
      </c>
      <c r="B97" s="22"/>
      <c r="C97" s="26">
        <f>ROUND(9.135,5)</f>
        <v>9.135</v>
      </c>
      <c r="D97" s="26">
        <f>F97</f>
        <v>9.24512</v>
      </c>
      <c r="E97" s="26">
        <f>F97</f>
        <v>9.24512</v>
      </c>
      <c r="F97" s="26">
        <f>ROUND(9.24512,5)</f>
        <v>9.24512</v>
      </c>
      <c r="G97" s="24"/>
      <c r="H97" s="35"/>
    </row>
    <row r="98" spans="1:8" ht="12.75" customHeight="1">
      <c r="A98" s="22">
        <v>43503</v>
      </c>
      <c r="B98" s="22"/>
      <c r="C98" s="26">
        <f>ROUND(9.135,5)</f>
        <v>9.135</v>
      </c>
      <c r="D98" s="26">
        <f>F98</f>
        <v>9.31392</v>
      </c>
      <c r="E98" s="26">
        <f>F98</f>
        <v>9.31392</v>
      </c>
      <c r="F98" s="26">
        <f>ROUND(9.31392,5)</f>
        <v>9.31392</v>
      </c>
      <c r="G98" s="24"/>
      <c r="H98" s="35"/>
    </row>
    <row r="99" spans="1:8" ht="12.75" customHeight="1">
      <c r="A99" s="22">
        <v>43587</v>
      </c>
      <c r="B99" s="22"/>
      <c r="C99" s="26">
        <f>ROUND(9.135,5)</f>
        <v>9.135</v>
      </c>
      <c r="D99" s="26">
        <f>F99</f>
        <v>9.36875</v>
      </c>
      <c r="E99" s="26">
        <f>F99</f>
        <v>9.36875</v>
      </c>
      <c r="F99" s="26">
        <f>ROUND(9.36875,5)</f>
        <v>9.36875</v>
      </c>
      <c r="G99" s="24"/>
      <c r="H99" s="35"/>
    </row>
    <row r="100" spans="1:8" ht="12.75" customHeight="1">
      <c r="A100" s="22">
        <v>43678</v>
      </c>
      <c r="B100" s="22"/>
      <c r="C100" s="26">
        <f>ROUND(9.135,5)</f>
        <v>9.135</v>
      </c>
      <c r="D100" s="26">
        <f>F100</f>
        <v>9.43566</v>
      </c>
      <c r="E100" s="26">
        <f>F100</f>
        <v>9.43566</v>
      </c>
      <c r="F100" s="26">
        <f>ROUND(9.43566,5)</f>
        <v>9.43566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ROUND(104.90585,5)</f>
        <v>104.90585</v>
      </c>
      <c r="D102" s="26">
        <f>F102</f>
        <v>106.44172</v>
      </c>
      <c r="E102" s="26">
        <f>F102</f>
        <v>106.44172</v>
      </c>
      <c r="F102" s="26">
        <f>ROUND(106.44172,5)</f>
        <v>106.44172</v>
      </c>
      <c r="G102" s="24"/>
      <c r="H102" s="35"/>
    </row>
    <row r="103" spans="1:8" ht="12.75" customHeight="1">
      <c r="A103" s="22">
        <v>43405</v>
      </c>
      <c r="B103" s="22"/>
      <c r="C103" s="26">
        <f>ROUND(104.90585,5)</f>
        <v>104.90585</v>
      </c>
      <c r="D103" s="26">
        <f>F103</f>
        <v>107.24668</v>
      </c>
      <c r="E103" s="26">
        <f>F103</f>
        <v>107.24668</v>
      </c>
      <c r="F103" s="26">
        <f>ROUND(107.24668,5)</f>
        <v>107.24668</v>
      </c>
      <c r="G103" s="24"/>
      <c r="H103" s="35"/>
    </row>
    <row r="104" spans="1:8" ht="12.75" customHeight="1">
      <c r="A104" s="22">
        <v>43503</v>
      </c>
      <c r="B104" s="22"/>
      <c r="C104" s="26">
        <f>ROUND(104.90585,5)</f>
        <v>104.90585</v>
      </c>
      <c r="D104" s="26">
        <f>F104</f>
        <v>109.34986</v>
      </c>
      <c r="E104" s="26">
        <f>F104</f>
        <v>109.34986</v>
      </c>
      <c r="F104" s="26">
        <f>ROUND(109.34986,5)</f>
        <v>109.34986</v>
      </c>
      <c r="G104" s="24"/>
      <c r="H104" s="35"/>
    </row>
    <row r="105" spans="1:8" ht="12.75" customHeight="1">
      <c r="A105" s="22">
        <v>43587</v>
      </c>
      <c r="B105" s="22"/>
      <c r="C105" s="26">
        <f>ROUND(104.90585,5)</f>
        <v>104.90585</v>
      </c>
      <c r="D105" s="26">
        <f>F105</f>
        <v>110.08079</v>
      </c>
      <c r="E105" s="26">
        <f>F105</f>
        <v>110.08079</v>
      </c>
      <c r="F105" s="26">
        <f>ROUND(110.08079,5)</f>
        <v>110.08079</v>
      </c>
      <c r="G105" s="24"/>
      <c r="H105" s="35"/>
    </row>
    <row r="106" spans="1:8" ht="12.75" customHeight="1">
      <c r="A106" s="22">
        <v>43678</v>
      </c>
      <c r="B106" s="22"/>
      <c r="C106" s="26">
        <f>ROUND(104.90585,5)</f>
        <v>104.90585</v>
      </c>
      <c r="D106" s="26">
        <f>F106</f>
        <v>112.01965</v>
      </c>
      <c r="E106" s="26">
        <f>F106</f>
        <v>112.01965</v>
      </c>
      <c r="F106" s="26">
        <f>ROUND(112.01965,5)</f>
        <v>112.01965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ROUND(9.34,5)</f>
        <v>9.34</v>
      </c>
      <c r="D108" s="26">
        <f>F108</f>
        <v>9.39045</v>
      </c>
      <c r="E108" s="26">
        <f>F108</f>
        <v>9.39045</v>
      </c>
      <c r="F108" s="26">
        <f>ROUND(9.39045,5)</f>
        <v>9.39045</v>
      </c>
      <c r="G108" s="24"/>
      <c r="H108" s="35"/>
    </row>
    <row r="109" spans="1:8" ht="12.75" customHeight="1">
      <c r="A109" s="22">
        <v>43405</v>
      </c>
      <c r="B109" s="22"/>
      <c r="C109" s="26">
        <f>ROUND(9.34,5)</f>
        <v>9.34</v>
      </c>
      <c r="D109" s="26">
        <f>F109</f>
        <v>9.44783</v>
      </c>
      <c r="E109" s="26">
        <f>F109</f>
        <v>9.44783</v>
      </c>
      <c r="F109" s="26">
        <f>ROUND(9.44783,5)</f>
        <v>9.44783</v>
      </c>
      <c r="G109" s="24"/>
      <c r="H109" s="35"/>
    </row>
    <row r="110" spans="1:8" ht="12.75" customHeight="1">
      <c r="A110" s="22">
        <v>43503</v>
      </c>
      <c r="B110" s="22"/>
      <c r="C110" s="26">
        <f>ROUND(9.34,5)</f>
        <v>9.34</v>
      </c>
      <c r="D110" s="26">
        <f>F110</f>
        <v>9.51257</v>
      </c>
      <c r="E110" s="26">
        <f>F110</f>
        <v>9.51257</v>
      </c>
      <c r="F110" s="26">
        <f>ROUND(9.51257,5)</f>
        <v>9.51257</v>
      </c>
      <c r="G110" s="24"/>
      <c r="H110" s="35"/>
    </row>
    <row r="111" spans="1:8" ht="12.75" customHeight="1">
      <c r="A111" s="22">
        <v>43587</v>
      </c>
      <c r="B111" s="22"/>
      <c r="C111" s="26">
        <f>ROUND(9.34,5)</f>
        <v>9.34</v>
      </c>
      <c r="D111" s="26">
        <f>F111</f>
        <v>9.56732</v>
      </c>
      <c r="E111" s="26">
        <f>F111</f>
        <v>9.56732</v>
      </c>
      <c r="F111" s="26">
        <f>ROUND(9.56732,5)</f>
        <v>9.56732</v>
      </c>
      <c r="G111" s="24"/>
      <c r="H111" s="35"/>
    </row>
    <row r="112" spans="1:8" ht="12.75" customHeight="1">
      <c r="A112" s="22">
        <v>43678</v>
      </c>
      <c r="B112" s="22"/>
      <c r="C112" s="26">
        <f>ROUND(9.34,5)</f>
        <v>9.34</v>
      </c>
      <c r="D112" s="26">
        <f>F112</f>
        <v>9.63505</v>
      </c>
      <c r="E112" s="26">
        <f>F112</f>
        <v>9.63505</v>
      </c>
      <c r="F112" s="26">
        <f>ROUND(9.63505,5)</f>
        <v>9.63505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127.63517</v>
      </c>
      <c r="E114" s="26">
        <f>F114</f>
        <v>127.63517</v>
      </c>
      <c r="F114" s="26">
        <f>ROUND(127.63517,5)</f>
        <v>127.63517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129.94441</v>
      </c>
      <c r="E115" s="26">
        <f>F115</f>
        <v>129.94441</v>
      </c>
      <c r="F115" s="26">
        <f>ROUND(129.94441,5)</f>
        <v>129.94441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130.90245</v>
      </c>
      <c r="E116" s="26">
        <f>F116</f>
        <v>130.90245</v>
      </c>
      <c r="F116" s="26">
        <f>ROUND(130.90245,5)</f>
        <v>130.90245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133.14632</v>
      </c>
      <c r="E117" s="26">
        <f>F117</f>
        <v>133.14632</v>
      </c>
      <c r="F117" s="26">
        <f>ROUND(133.14632,5)</f>
        <v>133.14632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135.49146</v>
      </c>
      <c r="E118" s="26">
        <f>F118</f>
        <v>135.49146</v>
      </c>
      <c r="F118" s="26">
        <f>ROUND(135.49146,5)</f>
        <v>135.49146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ROUND(9.415,5)</f>
        <v>9.415</v>
      </c>
      <c r="D120" s="26">
        <f>F120</f>
        <v>9.46532</v>
      </c>
      <c r="E120" s="26">
        <f>F120</f>
        <v>9.46532</v>
      </c>
      <c r="F120" s="26">
        <f>ROUND(9.46532,5)</f>
        <v>9.46532</v>
      </c>
      <c r="G120" s="24"/>
      <c r="H120" s="35"/>
    </row>
    <row r="121" spans="1:8" ht="12.75" customHeight="1">
      <c r="A121" s="22">
        <v>43405</v>
      </c>
      <c r="B121" s="22"/>
      <c r="C121" s="26">
        <f>ROUND(9.415,5)</f>
        <v>9.415</v>
      </c>
      <c r="D121" s="26">
        <f>F121</f>
        <v>9.52257</v>
      </c>
      <c r="E121" s="26">
        <f>F121</f>
        <v>9.52257</v>
      </c>
      <c r="F121" s="26">
        <f>ROUND(9.52257,5)</f>
        <v>9.52257</v>
      </c>
      <c r="G121" s="24"/>
      <c r="H121" s="35"/>
    </row>
    <row r="122" spans="1:8" ht="12.75" customHeight="1">
      <c r="A122" s="22">
        <v>43503</v>
      </c>
      <c r="B122" s="22"/>
      <c r="C122" s="26">
        <f>ROUND(9.415,5)</f>
        <v>9.415</v>
      </c>
      <c r="D122" s="26">
        <f>F122</f>
        <v>9.58708</v>
      </c>
      <c r="E122" s="26">
        <f>F122</f>
        <v>9.58708</v>
      </c>
      <c r="F122" s="26">
        <f>ROUND(9.58708,5)</f>
        <v>9.58708</v>
      </c>
      <c r="G122" s="24"/>
      <c r="H122" s="35"/>
    </row>
    <row r="123" spans="1:8" ht="12.75" customHeight="1">
      <c r="A123" s="22">
        <v>43587</v>
      </c>
      <c r="B123" s="22"/>
      <c r="C123" s="26">
        <f>ROUND(9.415,5)</f>
        <v>9.415</v>
      </c>
      <c r="D123" s="26">
        <f>F123</f>
        <v>9.64159</v>
      </c>
      <c r="E123" s="26">
        <f>F123</f>
        <v>9.64159</v>
      </c>
      <c r="F123" s="26">
        <f>ROUND(9.64159,5)</f>
        <v>9.64159</v>
      </c>
      <c r="G123" s="24"/>
      <c r="H123" s="35"/>
    </row>
    <row r="124" spans="1:8" ht="12.75" customHeight="1">
      <c r="A124" s="22">
        <v>43678</v>
      </c>
      <c r="B124" s="22"/>
      <c r="C124" s="26">
        <f>ROUND(9.415,5)</f>
        <v>9.415</v>
      </c>
      <c r="D124" s="26">
        <f>F124</f>
        <v>9.70874</v>
      </c>
      <c r="E124" s="26">
        <f>F124</f>
        <v>9.70874</v>
      </c>
      <c r="F124" s="26">
        <f>ROUND(9.70874,5)</f>
        <v>9.70874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ROUND(9.46,5)</f>
        <v>9.46</v>
      </c>
      <c r="D126" s="26">
        <f>F126</f>
        <v>9.5089</v>
      </c>
      <c r="E126" s="26">
        <f>F126</f>
        <v>9.5089</v>
      </c>
      <c r="F126" s="26">
        <f>ROUND(9.5089,5)</f>
        <v>9.5089</v>
      </c>
      <c r="G126" s="24"/>
      <c r="H126" s="35"/>
    </row>
    <row r="127" spans="1:8" ht="12.75" customHeight="1">
      <c r="A127" s="22">
        <v>43405</v>
      </c>
      <c r="B127" s="22"/>
      <c r="C127" s="26">
        <f>ROUND(9.46,5)</f>
        <v>9.46</v>
      </c>
      <c r="D127" s="26">
        <f>F127</f>
        <v>9.5645</v>
      </c>
      <c r="E127" s="26">
        <f>F127</f>
        <v>9.5645</v>
      </c>
      <c r="F127" s="26">
        <f>ROUND(9.5645,5)</f>
        <v>9.5645</v>
      </c>
      <c r="G127" s="24"/>
      <c r="H127" s="35"/>
    </row>
    <row r="128" spans="1:8" ht="12.75" customHeight="1">
      <c r="A128" s="22">
        <v>43503</v>
      </c>
      <c r="B128" s="22"/>
      <c r="C128" s="26">
        <f>ROUND(9.46,5)</f>
        <v>9.46</v>
      </c>
      <c r="D128" s="26">
        <f>F128</f>
        <v>9.62702</v>
      </c>
      <c r="E128" s="26">
        <f>F128</f>
        <v>9.62702</v>
      </c>
      <c r="F128" s="26">
        <f>ROUND(9.62702,5)</f>
        <v>9.62702</v>
      </c>
      <c r="G128" s="24"/>
      <c r="H128" s="35"/>
    </row>
    <row r="129" spans="1:8" ht="12.75" customHeight="1">
      <c r="A129" s="22">
        <v>43587</v>
      </c>
      <c r="B129" s="22"/>
      <c r="C129" s="26">
        <f>ROUND(9.46,5)</f>
        <v>9.46</v>
      </c>
      <c r="D129" s="26">
        <f>F129</f>
        <v>9.67978</v>
      </c>
      <c r="E129" s="26">
        <f>F129</f>
        <v>9.67978</v>
      </c>
      <c r="F129" s="26">
        <f>ROUND(9.67978,5)</f>
        <v>9.67978</v>
      </c>
      <c r="G129" s="24"/>
      <c r="H129" s="35"/>
    </row>
    <row r="130" spans="1:8" ht="12.75" customHeight="1">
      <c r="A130" s="22">
        <v>43678</v>
      </c>
      <c r="B130" s="22"/>
      <c r="C130" s="26">
        <f>ROUND(9.46,5)</f>
        <v>9.46</v>
      </c>
      <c r="D130" s="26">
        <f>F130</f>
        <v>9.74456</v>
      </c>
      <c r="E130" s="26">
        <f>F130</f>
        <v>9.74456</v>
      </c>
      <c r="F130" s="26">
        <f>ROUND(9.74456,5)</f>
        <v>9.74456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ROUND(119.89388,5)</f>
        <v>119.89388</v>
      </c>
      <c r="D132" s="26">
        <f>F132</f>
        <v>121.64933</v>
      </c>
      <c r="E132" s="26">
        <f>F132</f>
        <v>121.64933</v>
      </c>
      <c r="F132" s="26">
        <f>ROUND(121.64933,5)</f>
        <v>121.64933</v>
      </c>
      <c r="G132" s="24"/>
      <c r="H132" s="35"/>
    </row>
    <row r="133" spans="1:8" ht="12.75" customHeight="1">
      <c r="A133" s="22">
        <v>43405</v>
      </c>
      <c r="B133" s="22"/>
      <c r="C133" s="26">
        <f>ROUND(119.89388,5)</f>
        <v>119.89388</v>
      </c>
      <c r="D133" s="26">
        <f>F133</f>
        <v>122.20093</v>
      </c>
      <c r="E133" s="26">
        <f>F133</f>
        <v>122.20093</v>
      </c>
      <c r="F133" s="26">
        <f>ROUND(122.20093,5)</f>
        <v>122.20093</v>
      </c>
      <c r="G133" s="24"/>
      <c r="H133" s="35"/>
    </row>
    <row r="134" spans="1:8" ht="12.75" customHeight="1">
      <c r="A134" s="22">
        <v>43503</v>
      </c>
      <c r="B134" s="22"/>
      <c r="C134" s="26">
        <f>ROUND(119.89388,5)</f>
        <v>119.89388</v>
      </c>
      <c r="D134" s="26">
        <f>F134</f>
        <v>124.59733</v>
      </c>
      <c r="E134" s="26">
        <f>F134</f>
        <v>124.59733</v>
      </c>
      <c r="F134" s="26">
        <f>ROUND(124.59733,5)</f>
        <v>124.59733</v>
      </c>
      <c r="G134" s="24"/>
      <c r="H134" s="35"/>
    </row>
    <row r="135" spans="1:8" ht="12.75" customHeight="1">
      <c r="A135" s="22">
        <v>43587</v>
      </c>
      <c r="B135" s="22"/>
      <c r="C135" s="26">
        <f>ROUND(119.89388,5)</f>
        <v>119.89388</v>
      </c>
      <c r="D135" s="26">
        <f>F135</f>
        <v>125.05078</v>
      </c>
      <c r="E135" s="26">
        <f>F135</f>
        <v>125.05078</v>
      </c>
      <c r="F135" s="26">
        <f>ROUND(125.05078,5)</f>
        <v>125.05078</v>
      </c>
      <c r="G135" s="24"/>
      <c r="H135" s="35"/>
    </row>
    <row r="136" spans="1:8" ht="12.75" customHeight="1">
      <c r="A136" s="22">
        <v>43678</v>
      </c>
      <c r="B136" s="22"/>
      <c r="C136" s="26">
        <f>ROUND(119.89388,5)</f>
        <v>119.89388</v>
      </c>
      <c r="D136" s="26">
        <f>F136</f>
        <v>127.25251</v>
      </c>
      <c r="E136" s="26">
        <f>F136</f>
        <v>127.25251</v>
      </c>
      <c r="F136" s="26">
        <f>ROUND(127.25251,5)</f>
        <v>127.25251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ROUND(2.86,5)</f>
        <v>2.86</v>
      </c>
      <c r="D138" s="26">
        <f>F138</f>
        <v>127.09947</v>
      </c>
      <c r="E138" s="26">
        <f>F138</f>
        <v>127.09947</v>
      </c>
      <c r="F138" s="26">
        <f>ROUND(127.09947,5)</f>
        <v>127.09947</v>
      </c>
      <c r="G138" s="24"/>
      <c r="H138" s="35"/>
    </row>
    <row r="139" spans="1:8" ht="12.75" customHeight="1">
      <c r="A139" s="22">
        <v>43405</v>
      </c>
      <c r="B139" s="22"/>
      <c r="C139" s="26">
        <f>ROUND(2.86,5)</f>
        <v>2.86</v>
      </c>
      <c r="D139" s="26">
        <f>F139</f>
        <v>129.39901</v>
      </c>
      <c r="E139" s="26">
        <f>F139</f>
        <v>129.39901</v>
      </c>
      <c r="F139" s="26">
        <f>ROUND(129.39901,5)</f>
        <v>129.39901</v>
      </c>
      <c r="G139" s="24"/>
      <c r="H139" s="35"/>
    </row>
    <row r="140" spans="1:8" ht="12.75" customHeight="1">
      <c r="A140" s="22">
        <v>43503</v>
      </c>
      <c r="B140" s="22"/>
      <c r="C140" s="26">
        <f>ROUND(2.86,5)</f>
        <v>2.86</v>
      </c>
      <c r="D140" s="26">
        <f>F140</f>
        <v>130.16521</v>
      </c>
      <c r="E140" s="26">
        <f>F140</f>
        <v>130.16521</v>
      </c>
      <c r="F140" s="26">
        <f>ROUND(130.16521,5)</f>
        <v>130.16521</v>
      </c>
      <c r="G140" s="24"/>
      <c r="H140" s="35"/>
    </row>
    <row r="141" spans="1:8" ht="12.75" customHeight="1">
      <c r="A141" s="22">
        <v>43587</v>
      </c>
      <c r="B141" s="22"/>
      <c r="C141" s="26">
        <f>ROUND(2.86,5)</f>
        <v>2.86</v>
      </c>
      <c r="D141" s="26">
        <f>F141</f>
        <v>132.39635</v>
      </c>
      <c r="E141" s="26">
        <f>F141</f>
        <v>132.39635</v>
      </c>
      <c r="F141" s="26">
        <f>ROUND(132.39635,5)</f>
        <v>132.39635</v>
      </c>
      <c r="G141" s="24"/>
      <c r="H141" s="35"/>
    </row>
    <row r="142" spans="1:8" ht="12.75" customHeight="1">
      <c r="A142" s="22">
        <v>43678</v>
      </c>
      <c r="B142" s="22"/>
      <c r="C142" s="26">
        <f>ROUND(2.86,5)</f>
        <v>2.86</v>
      </c>
      <c r="D142" s="26">
        <f>F142</f>
        <v>134.72845</v>
      </c>
      <c r="E142" s="26">
        <f>F142</f>
        <v>134.72845</v>
      </c>
      <c r="F142" s="26">
        <f>ROUND(134.72845,5)</f>
        <v>134.72845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ROUND(3.36,5)</f>
        <v>3.36</v>
      </c>
      <c r="D144" s="26">
        <f>F144</f>
        <v>131.05208</v>
      </c>
      <c r="E144" s="26">
        <f>F144</f>
        <v>131.05208</v>
      </c>
      <c r="F144" s="26">
        <f>ROUND(131.05208,5)</f>
        <v>131.05208</v>
      </c>
      <c r="G144" s="24"/>
      <c r="H144" s="35"/>
    </row>
    <row r="145" spans="1:8" ht="12.75" customHeight="1">
      <c r="A145" s="22">
        <v>43405</v>
      </c>
      <c r="B145" s="22"/>
      <c r="C145" s="26">
        <f>ROUND(3.36,5)</f>
        <v>3.36</v>
      </c>
      <c r="D145" s="26">
        <f>F145</f>
        <v>131.6127</v>
      </c>
      <c r="E145" s="26">
        <f>F145</f>
        <v>131.6127</v>
      </c>
      <c r="F145" s="26">
        <f>ROUND(131.6127,5)</f>
        <v>131.6127</v>
      </c>
      <c r="G145" s="24"/>
      <c r="H145" s="35"/>
    </row>
    <row r="146" spans="1:8" ht="12.75" customHeight="1">
      <c r="A146" s="22">
        <v>43503</v>
      </c>
      <c r="B146" s="22"/>
      <c r="C146" s="26">
        <f>ROUND(3.36,5)</f>
        <v>3.36</v>
      </c>
      <c r="D146" s="26">
        <f>F146</f>
        <v>134.19352</v>
      </c>
      <c r="E146" s="26">
        <f>F146</f>
        <v>134.19352</v>
      </c>
      <c r="F146" s="26">
        <f>ROUND(134.19352,5)</f>
        <v>134.19352</v>
      </c>
      <c r="G146" s="24"/>
      <c r="H146" s="35"/>
    </row>
    <row r="147" spans="1:8" ht="12.75" customHeight="1">
      <c r="A147" s="22">
        <v>43587</v>
      </c>
      <c r="B147" s="22"/>
      <c r="C147" s="26">
        <f>ROUND(3.36,5)</f>
        <v>3.36</v>
      </c>
      <c r="D147" s="26">
        <f>F147</f>
        <v>136.49393</v>
      </c>
      <c r="E147" s="26">
        <f>F147</f>
        <v>136.49393</v>
      </c>
      <c r="F147" s="26">
        <f>ROUND(136.49393,5)</f>
        <v>136.49393</v>
      </c>
      <c r="G147" s="24"/>
      <c r="H147" s="35"/>
    </row>
    <row r="148" spans="1:8" ht="12.75" customHeight="1">
      <c r="A148" s="22">
        <v>43678</v>
      </c>
      <c r="B148" s="22"/>
      <c r="C148" s="26">
        <f>ROUND(3.36,5)</f>
        <v>3.36</v>
      </c>
      <c r="D148" s="26">
        <f>F148</f>
        <v>138.89875</v>
      </c>
      <c r="E148" s="26">
        <f>F148</f>
        <v>138.89875</v>
      </c>
      <c r="F148" s="26">
        <f>ROUND(138.89875,5)</f>
        <v>138.89875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ROUND(10.595,5)</f>
        <v>10.595</v>
      </c>
      <c r="D150" s="26">
        <f>F150</f>
        <v>10.67837</v>
      </c>
      <c r="E150" s="26">
        <f>F150</f>
        <v>10.67837</v>
      </c>
      <c r="F150" s="26">
        <f>ROUND(10.67837,5)</f>
        <v>10.67837</v>
      </c>
      <c r="G150" s="24"/>
      <c r="H150" s="35"/>
    </row>
    <row r="151" spans="1:8" ht="12.75" customHeight="1">
      <c r="A151" s="22">
        <v>43405</v>
      </c>
      <c r="B151" s="22"/>
      <c r="C151" s="26">
        <f>ROUND(10.595,5)</f>
        <v>10.595</v>
      </c>
      <c r="D151" s="26">
        <f>F151</f>
        <v>10.78574</v>
      </c>
      <c r="E151" s="26">
        <f>F151</f>
        <v>10.78574</v>
      </c>
      <c r="F151" s="26">
        <f>ROUND(10.78574,5)</f>
        <v>10.78574</v>
      </c>
      <c r="G151" s="24"/>
      <c r="H151" s="35"/>
    </row>
    <row r="152" spans="1:8" ht="12.75" customHeight="1">
      <c r="A152" s="22">
        <v>43503</v>
      </c>
      <c r="B152" s="22"/>
      <c r="C152" s="26">
        <f>ROUND(10.595,5)</f>
        <v>10.595</v>
      </c>
      <c r="D152" s="26">
        <f>F152</f>
        <v>10.90853</v>
      </c>
      <c r="E152" s="26">
        <f>F152</f>
        <v>10.90853</v>
      </c>
      <c r="F152" s="26">
        <f>ROUND(10.90853,5)</f>
        <v>10.90853</v>
      </c>
      <c r="G152" s="24"/>
      <c r="H152" s="35"/>
    </row>
    <row r="153" spans="1:8" ht="12.75" customHeight="1">
      <c r="A153" s="22">
        <v>43587</v>
      </c>
      <c r="B153" s="22"/>
      <c r="C153" s="26">
        <f>ROUND(10.595,5)</f>
        <v>10.595</v>
      </c>
      <c r="D153" s="26">
        <f>F153</f>
        <v>11.00818</v>
      </c>
      <c r="E153" s="26">
        <f>F153</f>
        <v>11.00818</v>
      </c>
      <c r="F153" s="26">
        <f>ROUND(11.00818,5)</f>
        <v>11.00818</v>
      </c>
      <c r="G153" s="24"/>
      <c r="H153" s="35"/>
    </row>
    <row r="154" spans="1:8" ht="12.75" customHeight="1">
      <c r="A154" s="22">
        <v>43678</v>
      </c>
      <c r="B154" s="22"/>
      <c r="C154" s="26">
        <f>ROUND(10.595,5)</f>
        <v>10.595</v>
      </c>
      <c r="D154" s="26">
        <f>F154</f>
        <v>11.125</v>
      </c>
      <c r="E154" s="26">
        <f>F154</f>
        <v>11.125</v>
      </c>
      <c r="F154" s="26">
        <f>ROUND(11.125,5)</f>
        <v>11.125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ROUND(10.8,5)</f>
        <v>10.8</v>
      </c>
      <c r="D156" s="26">
        <f>F156</f>
        <v>10.8812</v>
      </c>
      <c r="E156" s="26">
        <f>F156</f>
        <v>10.8812</v>
      </c>
      <c r="F156" s="26">
        <f>ROUND(10.8812,5)</f>
        <v>10.8812</v>
      </c>
      <c r="G156" s="24"/>
      <c r="H156" s="35"/>
    </row>
    <row r="157" spans="1:8" ht="12.75" customHeight="1">
      <c r="A157" s="22">
        <v>43405</v>
      </c>
      <c r="B157" s="22"/>
      <c r="C157" s="26">
        <f>ROUND(10.8,5)</f>
        <v>10.8</v>
      </c>
      <c r="D157" s="26">
        <f>F157</f>
        <v>10.98487</v>
      </c>
      <c r="E157" s="26">
        <f>F157</f>
        <v>10.98487</v>
      </c>
      <c r="F157" s="26">
        <f>ROUND(10.98487,5)</f>
        <v>10.98487</v>
      </c>
      <c r="G157" s="24"/>
      <c r="H157" s="35"/>
    </row>
    <row r="158" spans="1:8" ht="12.75" customHeight="1">
      <c r="A158" s="22">
        <v>43503</v>
      </c>
      <c r="B158" s="22"/>
      <c r="C158" s="26">
        <f>ROUND(10.8,5)</f>
        <v>10.8</v>
      </c>
      <c r="D158" s="26">
        <f>F158</f>
        <v>11.09933</v>
      </c>
      <c r="E158" s="26">
        <f>F158</f>
        <v>11.09933</v>
      </c>
      <c r="F158" s="26">
        <f>ROUND(11.09933,5)</f>
        <v>11.09933</v>
      </c>
      <c r="G158" s="24"/>
      <c r="H158" s="35"/>
    </row>
    <row r="159" spans="1:8" ht="12.75" customHeight="1">
      <c r="A159" s="22">
        <v>43587</v>
      </c>
      <c r="B159" s="22"/>
      <c r="C159" s="26">
        <f>ROUND(10.8,5)</f>
        <v>10.8</v>
      </c>
      <c r="D159" s="26">
        <f>F159</f>
        <v>11.19715</v>
      </c>
      <c r="E159" s="26">
        <f>F159</f>
        <v>11.19715</v>
      </c>
      <c r="F159" s="26">
        <f>ROUND(11.19715,5)</f>
        <v>11.19715</v>
      </c>
      <c r="G159" s="24"/>
      <c r="H159" s="35"/>
    </row>
    <row r="160" spans="1:8" ht="12.75" customHeight="1">
      <c r="A160" s="22">
        <v>43678</v>
      </c>
      <c r="B160" s="22"/>
      <c r="C160" s="26">
        <f>ROUND(10.8,5)</f>
        <v>10.8</v>
      </c>
      <c r="D160" s="26">
        <f>F160</f>
        <v>11.30878</v>
      </c>
      <c r="E160" s="26">
        <f>F160</f>
        <v>11.30878</v>
      </c>
      <c r="F160" s="26">
        <f>ROUND(11.30878,5)</f>
        <v>11.30878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ROUND(7.915,5)</f>
        <v>7.915</v>
      </c>
      <c r="D162" s="26">
        <f>F162</f>
        <v>7.94966</v>
      </c>
      <c r="E162" s="26">
        <f>F162</f>
        <v>7.94966</v>
      </c>
      <c r="F162" s="26">
        <f>ROUND(7.94966,5)</f>
        <v>7.94966</v>
      </c>
      <c r="G162" s="24"/>
      <c r="H162" s="35"/>
    </row>
    <row r="163" spans="1:8" ht="12.75" customHeight="1">
      <c r="A163" s="22">
        <v>43405</v>
      </c>
      <c r="B163" s="22"/>
      <c r="C163" s="26">
        <f>ROUND(7.915,5)</f>
        <v>7.915</v>
      </c>
      <c r="D163" s="26">
        <f>F163</f>
        <v>7.99952</v>
      </c>
      <c r="E163" s="26">
        <f>F163</f>
        <v>7.99952</v>
      </c>
      <c r="F163" s="26">
        <f>ROUND(7.99952,5)</f>
        <v>7.99952</v>
      </c>
      <c r="G163" s="24"/>
      <c r="H163" s="35"/>
    </row>
    <row r="164" spans="1:8" ht="12.75" customHeight="1">
      <c r="A164" s="22">
        <v>43503</v>
      </c>
      <c r="B164" s="22"/>
      <c r="C164" s="26">
        <f>ROUND(7.915,5)</f>
        <v>7.915</v>
      </c>
      <c r="D164" s="26">
        <f>F164</f>
        <v>8.06086</v>
      </c>
      <c r="E164" s="26">
        <f>F164</f>
        <v>8.06086</v>
      </c>
      <c r="F164" s="26">
        <f>ROUND(8.06086,5)</f>
        <v>8.06086</v>
      </c>
      <c r="G164" s="24"/>
      <c r="H164" s="35"/>
    </row>
    <row r="165" spans="1:8" ht="12.75" customHeight="1">
      <c r="A165" s="22">
        <v>43587</v>
      </c>
      <c r="B165" s="22"/>
      <c r="C165" s="26">
        <f>ROUND(7.915,5)</f>
        <v>7.915</v>
      </c>
      <c r="D165" s="26">
        <f>F165</f>
        <v>8.09766</v>
      </c>
      <c r="E165" s="26">
        <f>F165</f>
        <v>8.09766</v>
      </c>
      <c r="F165" s="26">
        <f>ROUND(8.09766,5)</f>
        <v>8.09766</v>
      </c>
      <c r="G165" s="24"/>
      <c r="H165" s="35"/>
    </row>
    <row r="166" spans="1:8" ht="12.75" customHeight="1">
      <c r="A166" s="22">
        <v>43678</v>
      </c>
      <c r="B166" s="22"/>
      <c r="C166" s="26">
        <f>ROUND(7.915,5)</f>
        <v>7.915</v>
      </c>
      <c r="D166" s="26">
        <f>F166</f>
        <v>8.15612</v>
      </c>
      <c r="E166" s="26">
        <f>F166</f>
        <v>8.15612</v>
      </c>
      <c r="F166" s="26">
        <f>ROUND(8.15612,5)</f>
        <v>8.15612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ROUND(9.25,5)</f>
        <v>9.25</v>
      </c>
      <c r="D168" s="26">
        <f>F168</f>
        <v>9.29723</v>
      </c>
      <c r="E168" s="26">
        <f>F168</f>
        <v>9.29723</v>
      </c>
      <c r="F168" s="26">
        <f>ROUND(9.29723,5)</f>
        <v>9.29723</v>
      </c>
      <c r="G168" s="24"/>
      <c r="H168" s="35"/>
    </row>
    <row r="169" spans="1:8" ht="12.75" customHeight="1">
      <c r="A169" s="22">
        <v>43405</v>
      </c>
      <c r="B169" s="22"/>
      <c r="C169" s="26">
        <f>ROUND(9.25,5)</f>
        <v>9.25</v>
      </c>
      <c r="D169" s="26">
        <f>F169</f>
        <v>9.35845</v>
      </c>
      <c r="E169" s="26">
        <f>F169</f>
        <v>9.35845</v>
      </c>
      <c r="F169" s="26">
        <f>ROUND(9.35845,5)</f>
        <v>9.35845</v>
      </c>
      <c r="G169" s="24"/>
      <c r="H169" s="35"/>
    </row>
    <row r="170" spans="1:8" ht="12.75" customHeight="1">
      <c r="A170" s="22">
        <v>43503</v>
      </c>
      <c r="B170" s="22"/>
      <c r="C170" s="26">
        <f>ROUND(9.25,5)</f>
        <v>9.25</v>
      </c>
      <c r="D170" s="26">
        <f>F170</f>
        <v>9.42809</v>
      </c>
      <c r="E170" s="26">
        <f>F170</f>
        <v>9.42809</v>
      </c>
      <c r="F170" s="26">
        <f>ROUND(9.42809,5)</f>
        <v>9.42809</v>
      </c>
      <c r="G170" s="24"/>
      <c r="H170" s="35"/>
    </row>
    <row r="171" spans="1:8" ht="12.75" customHeight="1">
      <c r="A171" s="22">
        <v>43587</v>
      </c>
      <c r="B171" s="22"/>
      <c r="C171" s="26">
        <f>ROUND(9.25,5)</f>
        <v>9.25</v>
      </c>
      <c r="D171" s="26">
        <f>F171</f>
        <v>9.48006</v>
      </c>
      <c r="E171" s="26">
        <f>F171</f>
        <v>9.48006</v>
      </c>
      <c r="F171" s="26">
        <f>ROUND(9.48006,5)</f>
        <v>9.48006</v>
      </c>
      <c r="G171" s="24"/>
      <c r="H171" s="35"/>
    </row>
    <row r="172" spans="1:8" ht="12.75" customHeight="1">
      <c r="A172" s="22">
        <v>43678</v>
      </c>
      <c r="B172" s="22"/>
      <c r="C172" s="26">
        <f>ROUND(9.25,5)</f>
        <v>9.25</v>
      </c>
      <c r="D172" s="26">
        <f>F172</f>
        <v>9.54397</v>
      </c>
      <c r="E172" s="26">
        <f>F172</f>
        <v>9.54397</v>
      </c>
      <c r="F172" s="26">
        <f>ROUND(9.54397,5)</f>
        <v>9.54397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ROUND(8.545,5)</f>
        <v>8.545</v>
      </c>
      <c r="D174" s="26">
        <f>F174</f>
        <v>8.59236</v>
      </c>
      <c r="E174" s="26">
        <f>F174</f>
        <v>8.59236</v>
      </c>
      <c r="F174" s="26">
        <f>ROUND(8.59236,5)</f>
        <v>8.59236</v>
      </c>
      <c r="G174" s="24"/>
      <c r="H174" s="35"/>
    </row>
    <row r="175" spans="1:8" ht="12.75" customHeight="1">
      <c r="A175" s="22">
        <v>43405</v>
      </c>
      <c r="B175" s="22"/>
      <c r="C175" s="26">
        <f>ROUND(8.545,5)</f>
        <v>8.545</v>
      </c>
      <c r="D175" s="26">
        <f>F175</f>
        <v>8.65123</v>
      </c>
      <c r="E175" s="26">
        <f>F175</f>
        <v>8.65123</v>
      </c>
      <c r="F175" s="26">
        <f>ROUND(8.65123,5)</f>
        <v>8.65123</v>
      </c>
      <c r="G175" s="24"/>
      <c r="H175" s="35"/>
    </row>
    <row r="176" spans="1:8" ht="12.75" customHeight="1">
      <c r="A176" s="22">
        <v>43503</v>
      </c>
      <c r="B176" s="22"/>
      <c r="C176" s="26">
        <f>ROUND(8.545,5)</f>
        <v>8.545</v>
      </c>
      <c r="D176" s="26">
        <f>F176</f>
        <v>8.71868</v>
      </c>
      <c r="E176" s="26">
        <f>F176</f>
        <v>8.71868</v>
      </c>
      <c r="F176" s="26">
        <f>ROUND(8.71868,5)</f>
        <v>8.71868</v>
      </c>
      <c r="G176" s="24"/>
      <c r="H176" s="35"/>
    </row>
    <row r="177" spans="1:8" ht="12.75" customHeight="1">
      <c r="A177" s="22">
        <v>43587</v>
      </c>
      <c r="B177" s="22"/>
      <c r="C177" s="26">
        <f>ROUND(8.545,5)</f>
        <v>8.545</v>
      </c>
      <c r="D177" s="26">
        <f>F177</f>
        <v>8.77261</v>
      </c>
      <c r="E177" s="26">
        <f>F177</f>
        <v>8.77261</v>
      </c>
      <c r="F177" s="26">
        <f>ROUND(8.77261,5)</f>
        <v>8.77261</v>
      </c>
      <c r="G177" s="24"/>
      <c r="H177" s="35"/>
    </row>
    <row r="178" spans="1:8" ht="12.75" customHeight="1">
      <c r="A178" s="22">
        <v>43678</v>
      </c>
      <c r="B178" s="22"/>
      <c r="C178" s="26">
        <f>ROUND(8.545,5)</f>
        <v>8.545</v>
      </c>
      <c r="D178" s="26">
        <f>F178</f>
        <v>8.84292</v>
      </c>
      <c r="E178" s="26">
        <f>F178</f>
        <v>8.84292</v>
      </c>
      <c r="F178" s="26">
        <f>ROUND(8.84292,5)</f>
        <v>8.84292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303.42219</v>
      </c>
      <c r="E180" s="26">
        <f>F180</f>
        <v>303.42219</v>
      </c>
      <c r="F180" s="26">
        <f>ROUND(303.42219,5)</f>
        <v>303.42219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308.91218</v>
      </c>
      <c r="E181" s="26">
        <f>F181</f>
        <v>308.91218</v>
      </c>
      <c r="F181" s="26">
        <f>ROUND(308.91218,5)</f>
        <v>308.91218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307.61322</v>
      </c>
      <c r="E182" s="26">
        <f>F182</f>
        <v>307.61322</v>
      </c>
      <c r="F182" s="26">
        <f>ROUND(307.61322,5)</f>
        <v>307.61322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312.88608</v>
      </c>
      <c r="E183" s="26">
        <f>F183</f>
        <v>312.88608</v>
      </c>
      <c r="F183" s="26">
        <f>ROUND(312.88608,5)</f>
        <v>312.88608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318.39596</v>
      </c>
      <c r="E184" s="26">
        <f>F184</f>
        <v>318.39596</v>
      </c>
      <c r="F184" s="26">
        <f>ROUND(318.39596,5)</f>
        <v>318.39596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240.98788</v>
      </c>
      <c r="E186" s="26">
        <f>F186</f>
        <v>240.98788</v>
      </c>
      <c r="F186" s="26">
        <f>ROUND(240.98788,5)</f>
        <v>240.98788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245.34823</v>
      </c>
      <c r="E187" s="26">
        <f>F187</f>
        <v>245.34823</v>
      </c>
      <c r="F187" s="26">
        <f>ROUND(245.34823,5)</f>
        <v>245.34823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246.25222</v>
      </c>
      <c r="E188" s="26">
        <f>F188</f>
        <v>246.25222</v>
      </c>
      <c r="F188" s="26">
        <f>ROUND(246.25222,5)</f>
        <v>246.25222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250.47342</v>
      </c>
      <c r="E189" s="26">
        <f>F189</f>
        <v>250.47342</v>
      </c>
      <c r="F189" s="26">
        <f>ROUND(250.47342,5)</f>
        <v>250.47342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254.88553</v>
      </c>
      <c r="E190" s="26">
        <f>F190</f>
        <v>254.88553</v>
      </c>
      <c r="F190" s="26">
        <f>ROUND(254.88553,5)</f>
        <v>254.88553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ROUND(6.735,5)</f>
        <v>6.735</v>
      </c>
      <c r="D194" s="26">
        <f>F194</f>
        <v>6.43121</v>
      </c>
      <c r="E194" s="26">
        <f>F194</f>
        <v>6.43121</v>
      </c>
      <c r="F194" s="26">
        <f>ROUND(6.43121,5)</f>
        <v>6.43121</v>
      </c>
      <c r="G194" s="24"/>
      <c r="H194" s="35"/>
    </row>
    <row r="195" spans="1:8" ht="12.75" customHeight="1">
      <c r="A195" s="22">
        <v>43405</v>
      </c>
      <c r="B195" s="22"/>
      <c r="C195" s="26">
        <f>ROUND(6.735,5)</f>
        <v>6.735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ROUND(6.735,5)</f>
        <v>6.735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ROUND(6.735,5)</f>
        <v>6.735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ROUND(6.735,5)</f>
        <v>6.735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ROUND(7.315,5)</f>
        <v>7.315</v>
      </c>
      <c r="D200" s="26">
        <f>F200</f>
        <v>7.33591</v>
      </c>
      <c r="E200" s="26">
        <f>F200</f>
        <v>7.33591</v>
      </c>
      <c r="F200" s="26">
        <f>ROUND(7.33591,5)</f>
        <v>7.33591</v>
      </c>
      <c r="G200" s="24"/>
      <c r="H200" s="35"/>
    </row>
    <row r="201" spans="1:8" ht="12.75" customHeight="1">
      <c r="A201" s="22">
        <v>43405</v>
      </c>
      <c r="B201" s="22"/>
      <c r="C201" s="26">
        <f>ROUND(7.315,5)</f>
        <v>7.315</v>
      </c>
      <c r="D201" s="26">
        <f>F201</f>
        <v>7.34116</v>
      </c>
      <c r="E201" s="26">
        <f>F201</f>
        <v>7.34116</v>
      </c>
      <c r="F201" s="26">
        <f>ROUND(7.34116,5)</f>
        <v>7.34116</v>
      </c>
      <c r="G201" s="24"/>
      <c r="H201" s="35"/>
    </row>
    <row r="202" spans="1:8" ht="12.75" customHeight="1">
      <c r="A202" s="22">
        <v>43503</v>
      </c>
      <c r="B202" s="22"/>
      <c r="C202" s="26">
        <f>ROUND(7.315,5)</f>
        <v>7.315</v>
      </c>
      <c r="D202" s="26">
        <f>F202</f>
        <v>7.34988</v>
      </c>
      <c r="E202" s="26">
        <f>F202</f>
        <v>7.34988</v>
      </c>
      <c r="F202" s="26">
        <f>ROUND(7.34988,5)</f>
        <v>7.34988</v>
      </c>
      <c r="G202" s="24"/>
      <c r="H202" s="35"/>
    </row>
    <row r="203" spans="1:8" ht="12.75" customHeight="1">
      <c r="A203" s="22">
        <v>43587</v>
      </c>
      <c r="B203" s="22"/>
      <c r="C203" s="26">
        <f>ROUND(7.315,5)</f>
        <v>7.315</v>
      </c>
      <c r="D203" s="26">
        <f>F203</f>
        <v>7.32197</v>
      </c>
      <c r="E203" s="26">
        <f>F203</f>
        <v>7.32197</v>
      </c>
      <c r="F203" s="26">
        <f>ROUND(7.32197,5)</f>
        <v>7.32197</v>
      </c>
      <c r="G203" s="24"/>
      <c r="H203" s="35"/>
    </row>
    <row r="204" spans="1:8" ht="12.75" customHeight="1">
      <c r="A204" s="22">
        <v>43678</v>
      </c>
      <c r="B204" s="22"/>
      <c r="C204" s="26">
        <f>ROUND(7.315,5)</f>
        <v>7.315</v>
      </c>
      <c r="D204" s="26">
        <f>F204</f>
        <v>7.27214</v>
      </c>
      <c r="E204" s="26">
        <f>F204</f>
        <v>7.27214</v>
      </c>
      <c r="F204" s="26">
        <f>ROUND(7.27214,5)</f>
        <v>7.27214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ROUND(7.555,5)</f>
        <v>7.555</v>
      </c>
      <c r="D206" s="26">
        <f>F206</f>
        <v>7.58307</v>
      </c>
      <c r="E206" s="26">
        <f>F206</f>
        <v>7.58307</v>
      </c>
      <c r="F206" s="26">
        <f>ROUND(7.58307,5)</f>
        <v>7.58307</v>
      </c>
      <c r="G206" s="24"/>
      <c r="H206" s="35"/>
    </row>
    <row r="207" spans="1:8" ht="12.75" customHeight="1">
      <c r="A207" s="22">
        <v>43405</v>
      </c>
      <c r="B207" s="22"/>
      <c r="C207" s="26">
        <f>ROUND(7.555,5)</f>
        <v>7.555</v>
      </c>
      <c r="D207" s="26">
        <f>F207</f>
        <v>7.62037</v>
      </c>
      <c r="E207" s="26">
        <f>F207</f>
        <v>7.62037</v>
      </c>
      <c r="F207" s="26">
        <f>ROUND(7.62037,5)</f>
        <v>7.62037</v>
      </c>
      <c r="G207" s="24"/>
      <c r="H207" s="35"/>
    </row>
    <row r="208" spans="1:8" ht="12.75" customHeight="1">
      <c r="A208" s="22">
        <v>43503</v>
      </c>
      <c r="B208" s="22"/>
      <c r="C208" s="26">
        <f>ROUND(7.555,5)</f>
        <v>7.555</v>
      </c>
      <c r="D208" s="26">
        <f>F208</f>
        <v>7.66893</v>
      </c>
      <c r="E208" s="26">
        <f>F208</f>
        <v>7.66893</v>
      </c>
      <c r="F208" s="26">
        <f>ROUND(7.66893,5)</f>
        <v>7.66893</v>
      </c>
      <c r="G208" s="24"/>
      <c r="H208" s="35"/>
    </row>
    <row r="209" spans="1:8" ht="12.75" customHeight="1">
      <c r="A209" s="22">
        <v>43587</v>
      </c>
      <c r="B209" s="22"/>
      <c r="C209" s="26">
        <f>ROUND(7.555,5)</f>
        <v>7.555</v>
      </c>
      <c r="D209" s="26">
        <f>F209</f>
        <v>7.6922</v>
      </c>
      <c r="E209" s="26">
        <f>F209</f>
        <v>7.6922</v>
      </c>
      <c r="F209" s="26">
        <f>ROUND(7.6922,5)</f>
        <v>7.6922</v>
      </c>
      <c r="G209" s="24"/>
      <c r="H209" s="35"/>
    </row>
    <row r="210" spans="1:8" ht="12.75" customHeight="1">
      <c r="A210" s="22">
        <v>43678</v>
      </c>
      <c r="B210" s="22"/>
      <c r="C210" s="26">
        <f>ROUND(7.555,5)</f>
        <v>7.555</v>
      </c>
      <c r="D210" s="26">
        <f>F210</f>
        <v>7.75022</v>
      </c>
      <c r="E210" s="26">
        <f>F210</f>
        <v>7.75022</v>
      </c>
      <c r="F210" s="26">
        <f>ROUND(7.75022,5)</f>
        <v>7.75022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ROUND(9.265,5)</f>
        <v>9.265</v>
      </c>
      <c r="D212" s="26">
        <f>F212</f>
        <v>9.30877</v>
      </c>
      <c r="E212" s="26">
        <f>F212</f>
        <v>9.30877</v>
      </c>
      <c r="F212" s="26">
        <f>ROUND(9.30877,5)</f>
        <v>9.30877</v>
      </c>
      <c r="G212" s="24"/>
      <c r="H212" s="35"/>
    </row>
    <row r="213" spans="1:8" ht="12.75" customHeight="1">
      <c r="A213" s="22">
        <v>43405</v>
      </c>
      <c r="B213" s="22"/>
      <c r="C213" s="26">
        <f>ROUND(9.265,5)</f>
        <v>9.265</v>
      </c>
      <c r="D213" s="26">
        <f>F213</f>
        <v>9.36361</v>
      </c>
      <c r="E213" s="26">
        <f>F213</f>
        <v>9.36361</v>
      </c>
      <c r="F213" s="26">
        <f>ROUND(9.36361,5)</f>
        <v>9.36361</v>
      </c>
      <c r="G213" s="24"/>
      <c r="H213" s="35"/>
    </row>
    <row r="214" spans="1:8" ht="12.75" customHeight="1">
      <c r="A214" s="22">
        <v>43503</v>
      </c>
      <c r="B214" s="22"/>
      <c r="C214" s="26">
        <f>ROUND(9.265,5)</f>
        <v>9.265</v>
      </c>
      <c r="D214" s="26">
        <f>F214</f>
        <v>9.4245</v>
      </c>
      <c r="E214" s="26">
        <f>F214</f>
        <v>9.4245</v>
      </c>
      <c r="F214" s="26">
        <f>ROUND(9.4245,5)</f>
        <v>9.4245</v>
      </c>
      <c r="G214" s="24"/>
      <c r="H214" s="35"/>
    </row>
    <row r="215" spans="1:8" ht="12.75" customHeight="1">
      <c r="A215" s="22">
        <v>43587</v>
      </c>
      <c r="B215" s="22"/>
      <c r="C215" s="26">
        <f>ROUND(9.265,5)</f>
        <v>9.265</v>
      </c>
      <c r="D215" s="26">
        <f>F215</f>
        <v>9.4729</v>
      </c>
      <c r="E215" s="26">
        <f>F215</f>
        <v>9.4729</v>
      </c>
      <c r="F215" s="26">
        <f>ROUND(9.4729,5)</f>
        <v>9.4729</v>
      </c>
      <c r="G215" s="24"/>
      <c r="H215" s="35"/>
    </row>
    <row r="216" spans="1:8" ht="12.75" customHeight="1">
      <c r="A216" s="22">
        <v>43678</v>
      </c>
      <c r="B216" s="22"/>
      <c r="C216" s="26">
        <f>ROUND(9.265,5)</f>
        <v>9.265</v>
      </c>
      <c r="D216" s="26">
        <f>F216</f>
        <v>9.53119</v>
      </c>
      <c r="E216" s="26">
        <f>F216</f>
        <v>9.53119</v>
      </c>
      <c r="F216" s="26">
        <f>ROUND(9.53119,5)</f>
        <v>9.53119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ROUND(2.58,5)</f>
        <v>2.58</v>
      </c>
      <c r="D218" s="26">
        <f>F218</f>
        <v>190.72276</v>
      </c>
      <c r="E218" s="26">
        <f>F218</f>
        <v>190.72276</v>
      </c>
      <c r="F218" s="26">
        <f>ROUND(190.72276,5)</f>
        <v>190.72276</v>
      </c>
      <c r="G218" s="24"/>
      <c r="H218" s="35"/>
    </row>
    <row r="219" spans="1:8" ht="12.75" customHeight="1">
      <c r="A219" s="22">
        <v>43405</v>
      </c>
      <c r="B219" s="22"/>
      <c r="C219" s="26">
        <f>ROUND(2.58,5)</f>
        <v>2.58</v>
      </c>
      <c r="D219" s="26">
        <f>F219</f>
        <v>191.6736</v>
      </c>
      <c r="E219" s="26">
        <f>F219</f>
        <v>191.6736</v>
      </c>
      <c r="F219" s="26">
        <f>ROUND(191.6736,5)</f>
        <v>191.6736</v>
      </c>
      <c r="G219" s="24"/>
      <c r="H219" s="35"/>
    </row>
    <row r="220" spans="1:8" ht="12.75" customHeight="1">
      <c r="A220" s="22">
        <v>43503</v>
      </c>
      <c r="B220" s="22"/>
      <c r="C220" s="26">
        <f>ROUND(2.58,5)</f>
        <v>2.58</v>
      </c>
      <c r="D220" s="26">
        <f>F220</f>
        <v>195.43222</v>
      </c>
      <c r="E220" s="26">
        <f>F220</f>
        <v>195.43222</v>
      </c>
      <c r="F220" s="26">
        <f>ROUND(195.43222,5)</f>
        <v>195.43222</v>
      </c>
      <c r="G220" s="24"/>
      <c r="H220" s="35"/>
    </row>
    <row r="221" spans="1:8" ht="12.75" customHeight="1">
      <c r="A221" s="22">
        <v>43587</v>
      </c>
      <c r="B221" s="22"/>
      <c r="C221" s="26">
        <f>ROUND(2.58,5)</f>
        <v>2.58</v>
      </c>
      <c r="D221" s="26">
        <f>F221</f>
        <v>196.23189</v>
      </c>
      <c r="E221" s="26">
        <f>F221</f>
        <v>196.23189</v>
      </c>
      <c r="F221" s="26">
        <f>ROUND(196.23189,5)</f>
        <v>196.23189</v>
      </c>
      <c r="G221" s="24"/>
      <c r="H221" s="35"/>
    </row>
    <row r="222" spans="1:8" ht="12.75" customHeight="1">
      <c r="A222" s="22">
        <v>43678</v>
      </c>
      <c r="B222" s="22"/>
      <c r="C222" s="26">
        <f>ROUND(2.58,5)</f>
        <v>2.58</v>
      </c>
      <c r="D222" s="26">
        <f>F222</f>
        <v>199.68702</v>
      </c>
      <c r="E222" s="26">
        <f>F222</f>
        <v>199.68702</v>
      </c>
      <c r="F222" s="26">
        <f>ROUND(199.68702,5)</f>
        <v>199.68702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ROUND(2.18,5)</f>
        <v>2.18</v>
      </c>
      <c r="D224" s="26">
        <f>F224</f>
        <v>155.2704</v>
      </c>
      <c r="E224" s="26">
        <f>F224</f>
        <v>155.2704</v>
      </c>
      <c r="F224" s="26">
        <f>ROUND(155.2704,5)</f>
        <v>155.2704</v>
      </c>
      <c r="G224" s="24"/>
      <c r="H224" s="35"/>
    </row>
    <row r="225" spans="1:8" ht="12.75" customHeight="1">
      <c r="A225" s="22">
        <v>43405</v>
      </c>
      <c r="B225" s="22"/>
      <c r="C225" s="26">
        <f>ROUND(2.18,5)</f>
        <v>2.18</v>
      </c>
      <c r="D225" s="26">
        <f>F225</f>
        <v>158.07974</v>
      </c>
      <c r="E225" s="26">
        <f>F225</f>
        <v>158.07974</v>
      </c>
      <c r="F225" s="26">
        <f>ROUND(158.07974,5)</f>
        <v>158.07974</v>
      </c>
      <c r="G225" s="24"/>
      <c r="H225" s="35"/>
    </row>
    <row r="226" spans="1:8" ht="12.75" customHeight="1">
      <c r="A226" s="22">
        <v>43503</v>
      </c>
      <c r="B226" s="22"/>
      <c r="C226" s="26">
        <f>ROUND(2.18,5)</f>
        <v>2.18</v>
      </c>
      <c r="D226" s="26">
        <f>F226</f>
        <v>159.02594</v>
      </c>
      <c r="E226" s="26">
        <f>F226</f>
        <v>159.02594</v>
      </c>
      <c r="F226" s="26">
        <f>ROUND(159.02594,5)</f>
        <v>159.02594</v>
      </c>
      <c r="G226" s="24"/>
      <c r="H226" s="35"/>
    </row>
    <row r="227" spans="1:8" ht="12.75" customHeight="1">
      <c r="A227" s="22">
        <v>43587</v>
      </c>
      <c r="B227" s="22"/>
      <c r="C227" s="26">
        <f>ROUND(2.18,5)</f>
        <v>2.18</v>
      </c>
      <c r="D227" s="26">
        <f>F227</f>
        <v>161.75183</v>
      </c>
      <c r="E227" s="26">
        <f>F227</f>
        <v>161.75183</v>
      </c>
      <c r="F227" s="26">
        <f>ROUND(161.75183,5)</f>
        <v>161.75183</v>
      </c>
      <c r="G227" s="24"/>
      <c r="H227" s="35"/>
    </row>
    <row r="228" spans="1:8" ht="12.75" customHeight="1">
      <c r="A228" s="22">
        <v>43678</v>
      </c>
      <c r="B228" s="22"/>
      <c r="C228" s="26">
        <f>ROUND(2.18,5)</f>
        <v>2.18</v>
      </c>
      <c r="D228" s="26">
        <f>F228</f>
        <v>164.60058</v>
      </c>
      <c r="E228" s="26">
        <f>F228</f>
        <v>164.60058</v>
      </c>
      <c r="F228" s="26">
        <f>ROUND(164.60058,5)</f>
        <v>164.60058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ROUND(9.045,5)</f>
        <v>9.045</v>
      </c>
      <c r="D230" s="26">
        <f>F230</f>
        <v>9.09067</v>
      </c>
      <c r="E230" s="26">
        <f>F230</f>
        <v>9.09067</v>
      </c>
      <c r="F230" s="26">
        <f>ROUND(9.09067,5)</f>
        <v>9.09067</v>
      </c>
      <c r="G230" s="24"/>
      <c r="H230" s="35"/>
    </row>
    <row r="231" spans="1:8" ht="12.75" customHeight="1">
      <c r="A231" s="22">
        <v>43405</v>
      </c>
      <c r="B231" s="22"/>
      <c r="C231" s="26">
        <f>ROUND(9.045,5)</f>
        <v>9.045</v>
      </c>
      <c r="D231" s="26">
        <f>F231</f>
        <v>9.15039</v>
      </c>
      <c r="E231" s="26">
        <f>F231</f>
        <v>9.15039</v>
      </c>
      <c r="F231" s="26">
        <f>ROUND(9.15039,5)</f>
        <v>9.15039</v>
      </c>
      <c r="G231" s="24"/>
      <c r="H231" s="35"/>
    </row>
    <row r="232" spans="1:8" ht="12.75" customHeight="1">
      <c r="A232" s="22">
        <v>43503</v>
      </c>
      <c r="B232" s="22"/>
      <c r="C232" s="26">
        <f>ROUND(9.045,5)</f>
        <v>9.045</v>
      </c>
      <c r="D232" s="26">
        <f>F232</f>
        <v>9.21867</v>
      </c>
      <c r="E232" s="26">
        <f>F232</f>
        <v>9.21867</v>
      </c>
      <c r="F232" s="26">
        <f>ROUND(9.21867,5)</f>
        <v>9.21867</v>
      </c>
      <c r="G232" s="24"/>
      <c r="H232" s="35"/>
    </row>
    <row r="233" spans="1:8" ht="12.75" customHeight="1">
      <c r="A233" s="22">
        <v>43587</v>
      </c>
      <c r="B233" s="22"/>
      <c r="C233" s="26">
        <f>ROUND(9.045,5)</f>
        <v>9.045</v>
      </c>
      <c r="D233" s="26">
        <f>F233</f>
        <v>9.26917</v>
      </c>
      <c r="E233" s="26">
        <f>F233</f>
        <v>9.26917</v>
      </c>
      <c r="F233" s="26">
        <f>ROUND(9.26917,5)</f>
        <v>9.26917</v>
      </c>
      <c r="G233" s="24"/>
      <c r="H233" s="35"/>
    </row>
    <row r="234" spans="1:8" ht="12.75" customHeight="1">
      <c r="A234" s="22">
        <v>43678</v>
      </c>
      <c r="B234" s="22"/>
      <c r="C234" s="26">
        <f>ROUND(9.045,5)</f>
        <v>9.045</v>
      </c>
      <c r="D234" s="26">
        <f>F234</f>
        <v>9.33214</v>
      </c>
      <c r="E234" s="26">
        <f>F234</f>
        <v>9.33214</v>
      </c>
      <c r="F234" s="26">
        <f>ROUND(9.33214,5)</f>
        <v>9.33214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ROUND(9.41,5)</f>
        <v>9.41</v>
      </c>
      <c r="D236" s="26">
        <f>F236</f>
        <v>9.45338</v>
      </c>
      <c r="E236" s="26">
        <f>F236</f>
        <v>9.45338</v>
      </c>
      <c r="F236" s="26">
        <f>ROUND(9.45338,5)</f>
        <v>9.45338</v>
      </c>
      <c r="G236" s="24"/>
      <c r="H236" s="35"/>
    </row>
    <row r="237" spans="1:8" ht="12.75" customHeight="1">
      <c r="A237" s="22">
        <v>43405</v>
      </c>
      <c r="B237" s="22"/>
      <c r="C237" s="26">
        <f>ROUND(9.41,5)</f>
        <v>9.41</v>
      </c>
      <c r="D237" s="26">
        <f>F237</f>
        <v>9.50918</v>
      </c>
      <c r="E237" s="26">
        <f>F237</f>
        <v>9.50918</v>
      </c>
      <c r="F237" s="26">
        <f>ROUND(9.50918,5)</f>
        <v>9.50918</v>
      </c>
      <c r="G237" s="24"/>
      <c r="H237" s="35"/>
    </row>
    <row r="238" spans="1:8" ht="12.75" customHeight="1">
      <c r="A238" s="22">
        <v>43503</v>
      </c>
      <c r="B238" s="22"/>
      <c r="C238" s="26">
        <f>ROUND(9.41,5)</f>
        <v>9.41</v>
      </c>
      <c r="D238" s="26">
        <f>F238</f>
        <v>9.57215</v>
      </c>
      <c r="E238" s="26">
        <f>F238</f>
        <v>9.57215</v>
      </c>
      <c r="F238" s="26">
        <f>ROUND(9.57215,5)</f>
        <v>9.57215</v>
      </c>
      <c r="G238" s="24"/>
      <c r="H238" s="35"/>
    </row>
    <row r="239" spans="1:8" ht="12.75" customHeight="1">
      <c r="A239" s="22">
        <v>43587</v>
      </c>
      <c r="B239" s="22"/>
      <c r="C239" s="26">
        <f>ROUND(9.41,5)</f>
        <v>9.41</v>
      </c>
      <c r="D239" s="26">
        <f>F239</f>
        <v>9.61926</v>
      </c>
      <c r="E239" s="26">
        <f>F239</f>
        <v>9.61926</v>
      </c>
      <c r="F239" s="26">
        <f>ROUND(9.61926,5)</f>
        <v>9.61926</v>
      </c>
      <c r="G239" s="24"/>
      <c r="H239" s="35"/>
    </row>
    <row r="240" spans="1:8" ht="12.75" customHeight="1">
      <c r="A240" s="22">
        <v>43678</v>
      </c>
      <c r="B240" s="22"/>
      <c r="C240" s="26">
        <f>ROUND(9.41,5)</f>
        <v>9.41</v>
      </c>
      <c r="D240" s="26">
        <f>F240</f>
        <v>9.67644</v>
      </c>
      <c r="E240" s="26">
        <f>F240</f>
        <v>9.67644</v>
      </c>
      <c r="F240" s="26">
        <f>ROUND(9.67644,5)</f>
        <v>9.67644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ROUND(9.435,5)</f>
        <v>9.435</v>
      </c>
      <c r="D242" s="26">
        <f>F242</f>
        <v>9.47875</v>
      </c>
      <c r="E242" s="26">
        <f>F242</f>
        <v>9.47875</v>
      </c>
      <c r="F242" s="26">
        <f>ROUND(9.47875,5)</f>
        <v>9.47875</v>
      </c>
      <c r="G242" s="24"/>
      <c r="H242" s="35"/>
    </row>
    <row r="243" spans="1:8" ht="12.75" customHeight="1">
      <c r="A243" s="22">
        <v>43405</v>
      </c>
      <c r="B243" s="22"/>
      <c r="C243" s="26">
        <f>ROUND(9.435,5)</f>
        <v>9.435</v>
      </c>
      <c r="D243" s="26">
        <f>F243</f>
        <v>9.53496</v>
      </c>
      <c r="E243" s="26">
        <f>F243</f>
        <v>9.53496</v>
      </c>
      <c r="F243" s="26">
        <f>ROUND(9.53496,5)</f>
        <v>9.53496</v>
      </c>
      <c r="G243" s="24"/>
      <c r="H243" s="35"/>
    </row>
    <row r="244" spans="1:8" ht="12.75" customHeight="1">
      <c r="A244" s="22">
        <v>43503</v>
      </c>
      <c r="B244" s="22"/>
      <c r="C244" s="26">
        <f>ROUND(9.435,5)</f>
        <v>9.435</v>
      </c>
      <c r="D244" s="26">
        <f>F244</f>
        <v>9.5984</v>
      </c>
      <c r="E244" s="26">
        <f>F244</f>
        <v>9.5984</v>
      </c>
      <c r="F244" s="26">
        <f>ROUND(9.5984,5)</f>
        <v>9.5984</v>
      </c>
      <c r="G244" s="24"/>
      <c r="H244" s="35"/>
    </row>
    <row r="245" spans="1:8" ht="12.75" customHeight="1">
      <c r="A245" s="22">
        <v>43587</v>
      </c>
      <c r="B245" s="22"/>
      <c r="C245" s="26">
        <f>ROUND(9.435,5)</f>
        <v>9.435</v>
      </c>
      <c r="D245" s="26">
        <f>F245</f>
        <v>9.64587</v>
      </c>
      <c r="E245" s="26">
        <f>F245</f>
        <v>9.64587</v>
      </c>
      <c r="F245" s="26">
        <f>ROUND(9.64587,5)</f>
        <v>9.64587</v>
      </c>
      <c r="G245" s="24"/>
      <c r="H245" s="35"/>
    </row>
    <row r="246" spans="1:8" ht="12.75" customHeight="1">
      <c r="A246" s="22">
        <v>43678</v>
      </c>
      <c r="B246" s="22"/>
      <c r="C246" s="26">
        <f>ROUND(9.435,5)</f>
        <v>9.435</v>
      </c>
      <c r="D246" s="26">
        <f>F246</f>
        <v>9.70346</v>
      </c>
      <c r="E246" s="26">
        <f>F246</f>
        <v>9.70346</v>
      </c>
      <c r="F246" s="26">
        <f>ROUND(9.70346,5)</f>
        <v>9.70346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ROUND(14.8163205,4)</f>
        <v>14.8163</v>
      </c>
      <c r="D248" s="25">
        <f>F248</f>
        <v>14.8193</v>
      </c>
      <c r="E248" s="25">
        <f>F248</f>
        <v>14.8193</v>
      </c>
      <c r="F248" s="25">
        <f>ROUND(14.8193,4)</f>
        <v>14.8193</v>
      </c>
      <c r="G248" s="24"/>
      <c r="H248" s="35"/>
    </row>
    <row r="249" spans="1:8" ht="12.75" customHeight="1">
      <c r="A249" s="22">
        <v>43297</v>
      </c>
      <c r="B249" s="22"/>
      <c r="C249" s="25">
        <f>ROUND(14.8163205,4)</f>
        <v>14.8163</v>
      </c>
      <c r="D249" s="25">
        <f>F249</f>
        <v>14.9812</v>
      </c>
      <c r="E249" s="25">
        <f>F249</f>
        <v>14.9812</v>
      </c>
      <c r="F249" s="25">
        <f>ROUND(14.9812,4)</f>
        <v>14.9812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43280</v>
      </c>
      <c r="B251" s="22"/>
      <c r="C251" s="28">
        <f>ROUND(0.113370718194717,6)</f>
        <v>0.113371</v>
      </c>
      <c r="D251" s="28">
        <f>F251</f>
        <v>0.114187</v>
      </c>
      <c r="E251" s="28">
        <f>F251</f>
        <v>0.114187</v>
      </c>
      <c r="F251" s="28">
        <f>ROUND(0.114187,6)</f>
        <v>0.114187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43242</v>
      </c>
      <c r="B253" s="22"/>
      <c r="C253" s="25">
        <f>ROUND(12.585,4)</f>
        <v>12.585</v>
      </c>
      <c r="D253" s="25">
        <f>F253</f>
        <v>12.538</v>
      </c>
      <c r="E253" s="25">
        <f>F253</f>
        <v>12.538</v>
      </c>
      <c r="F253" s="25">
        <f>ROUND(12.538,4)</f>
        <v>12.538</v>
      </c>
      <c r="G253" s="24"/>
      <c r="H253" s="35"/>
    </row>
    <row r="254" spans="1:8" ht="12.75" customHeight="1">
      <c r="A254" s="22">
        <v>43243</v>
      </c>
      <c r="B254" s="22"/>
      <c r="C254" s="25">
        <f>ROUND(12.585,4)</f>
        <v>12.585</v>
      </c>
      <c r="D254" s="25">
        <f>F254</f>
        <v>12.4169</v>
      </c>
      <c r="E254" s="25">
        <f>F254</f>
        <v>12.4169</v>
      </c>
      <c r="F254" s="25">
        <f>ROUND(12.4169,4)</f>
        <v>12.4169</v>
      </c>
      <c r="G254" s="24"/>
      <c r="H254" s="35"/>
    </row>
    <row r="255" spans="1:8" ht="12.75" customHeight="1">
      <c r="A255" s="22">
        <v>43245</v>
      </c>
      <c r="B255" s="22"/>
      <c r="C255" s="25">
        <f>ROUND(12.585,4)</f>
        <v>12.585</v>
      </c>
      <c r="D255" s="25">
        <f>F255</f>
        <v>12.5867</v>
      </c>
      <c r="E255" s="25">
        <f>F255</f>
        <v>12.5867</v>
      </c>
      <c r="F255" s="25">
        <f>ROUND(12.5867,4)</f>
        <v>12.5867</v>
      </c>
      <c r="G255" s="24"/>
      <c r="H255" s="35"/>
    </row>
    <row r="256" spans="1:8" ht="12.75" customHeight="1">
      <c r="A256" s="22">
        <v>43248</v>
      </c>
      <c r="B256" s="22"/>
      <c r="C256" s="25">
        <f>ROUND(12.585,4)</f>
        <v>12.585</v>
      </c>
      <c r="D256" s="25">
        <f>F256</f>
        <v>12.5911</v>
      </c>
      <c r="E256" s="25">
        <f>F256</f>
        <v>12.5911</v>
      </c>
      <c r="F256" s="25">
        <f>ROUND(12.5911,4)</f>
        <v>12.5911</v>
      </c>
      <c r="G256" s="24"/>
      <c r="H256" s="35"/>
    </row>
    <row r="257" spans="1:8" ht="12.75" customHeight="1">
      <c r="A257" s="22">
        <v>43249</v>
      </c>
      <c r="B257" s="22"/>
      <c r="C257" s="25">
        <f>ROUND(12.585,4)</f>
        <v>12.585</v>
      </c>
      <c r="D257" s="25">
        <f>F257</f>
        <v>12.5926</v>
      </c>
      <c r="E257" s="25">
        <f>F257</f>
        <v>12.5926</v>
      </c>
      <c r="F257" s="25">
        <f>ROUND(12.5926,4)</f>
        <v>12.5926</v>
      </c>
      <c r="G257" s="24"/>
      <c r="H257" s="35"/>
    </row>
    <row r="258" spans="1:8" ht="12.75" customHeight="1">
      <c r="A258" s="22">
        <v>43250</v>
      </c>
      <c r="B258" s="22"/>
      <c r="C258" s="25">
        <f>ROUND(12.585,4)</f>
        <v>12.585</v>
      </c>
      <c r="D258" s="25">
        <f>F258</f>
        <v>12.5941</v>
      </c>
      <c r="E258" s="25">
        <f>F258</f>
        <v>12.5941</v>
      </c>
      <c r="F258" s="25">
        <f>ROUND(12.5941,4)</f>
        <v>12.5941</v>
      </c>
      <c r="G258" s="24"/>
      <c r="H258" s="35"/>
    </row>
    <row r="259" spans="1:8" ht="12.75" customHeight="1">
      <c r="A259" s="22">
        <v>43251</v>
      </c>
      <c r="B259" s="22"/>
      <c r="C259" s="25">
        <f>ROUND(12.585,4)</f>
        <v>12.585</v>
      </c>
      <c r="D259" s="25">
        <f>F259</f>
        <v>12.5956</v>
      </c>
      <c r="E259" s="25">
        <f>F259</f>
        <v>12.5956</v>
      </c>
      <c r="F259" s="25">
        <f>ROUND(12.5956,4)</f>
        <v>12.5956</v>
      </c>
      <c r="G259" s="24"/>
      <c r="H259" s="35"/>
    </row>
    <row r="260" spans="1:8" ht="12.75" customHeight="1">
      <c r="A260" s="22">
        <v>43259</v>
      </c>
      <c r="B260" s="22"/>
      <c r="C260" s="25">
        <f>ROUND(12.585,4)</f>
        <v>12.585</v>
      </c>
      <c r="D260" s="25">
        <f>F260</f>
        <v>12.6094</v>
      </c>
      <c r="E260" s="25">
        <f>F260</f>
        <v>12.6094</v>
      </c>
      <c r="F260" s="25">
        <f>ROUND(12.6094,4)</f>
        <v>12.6094</v>
      </c>
      <c r="G260" s="24"/>
      <c r="H260" s="35"/>
    </row>
    <row r="261" spans="1:8" ht="12.75" customHeight="1">
      <c r="A261" s="22">
        <v>43271</v>
      </c>
      <c r="B261" s="22"/>
      <c r="C261" s="25">
        <f>ROUND(12.585,4)</f>
        <v>12.585</v>
      </c>
      <c r="D261" s="25">
        <f>F261</f>
        <v>12.6304</v>
      </c>
      <c r="E261" s="25">
        <f>F261</f>
        <v>12.6304</v>
      </c>
      <c r="F261" s="25">
        <f>ROUND(12.6304,4)</f>
        <v>12.6304</v>
      </c>
      <c r="G261" s="24"/>
      <c r="H261" s="35"/>
    </row>
    <row r="262" spans="1:8" ht="12.75" customHeight="1">
      <c r="A262" s="22">
        <v>43280</v>
      </c>
      <c r="B262" s="22"/>
      <c r="C262" s="25">
        <f>ROUND(12.585,4)</f>
        <v>12.585</v>
      </c>
      <c r="D262" s="25">
        <f>F262</f>
        <v>12.6458</v>
      </c>
      <c r="E262" s="25">
        <f>F262</f>
        <v>12.6458</v>
      </c>
      <c r="F262" s="25">
        <f>ROUND(12.6458,4)</f>
        <v>12.6458</v>
      </c>
      <c r="G262" s="24"/>
      <c r="H262" s="35"/>
    </row>
    <row r="263" spans="1:8" ht="12.75" customHeight="1">
      <c r="A263" s="22">
        <v>43283</v>
      </c>
      <c r="B263" s="22"/>
      <c r="C263" s="25">
        <f>ROUND(12.585,4)</f>
        <v>12.585</v>
      </c>
      <c r="D263" s="25">
        <f>F263</f>
        <v>12.6508</v>
      </c>
      <c r="E263" s="25">
        <f>F263</f>
        <v>12.6508</v>
      </c>
      <c r="F263" s="25">
        <f>ROUND(12.6508,4)</f>
        <v>12.6508</v>
      </c>
      <c r="G263" s="24"/>
      <c r="H263" s="35"/>
    </row>
    <row r="264" spans="1:8" ht="12.75" customHeight="1">
      <c r="A264" s="22">
        <v>43287</v>
      </c>
      <c r="B264" s="22"/>
      <c r="C264" s="25">
        <f>ROUND(12.585,4)</f>
        <v>12.585</v>
      </c>
      <c r="D264" s="25">
        <f>F264</f>
        <v>12.6574</v>
      </c>
      <c r="E264" s="25">
        <f>F264</f>
        <v>12.6574</v>
      </c>
      <c r="F264" s="25">
        <f>ROUND(12.6574,4)</f>
        <v>12.6574</v>
      </c>
      <c r="G264" s="24"/>
      <c r="H264" s="35"/>
    </row>
    <row r="265" spans="1:8" ht="12.75" customHeight="1">
      <c r="A265" s="22">
        <v>43301</v>
      </c>
      <c r="B265" s="22"/>
      <c r="C265" s="25">
        <f>ROUND(12.585,4)</f>
        <v>12.585</v>
      </c>
      <c r="D265" s="25">
        <f>F265</f>
        <v>12.6807</v>
      </c>
      <c r="E265" s="25">
        <f>F265</f>
        <v>12.6807</v>
      </c>
      <c r="F265" s="25">
        <f>ROUND(12.6807,4)</f>
        <v>12.6807</v>
      </c>
      <c r="G265" s="24"/>
      <c r="H265" s="35"/>
    </row>
    <row r="266" spans="1:8" ht="12.75" customHeight="1">
      <c r="A266" s="22">
        <v>43305</v>
      </c>
      <c r="B266" s="22"/>
      <c r="C266" s="25">
        <f>ROUND(12.585,4)</f>
        <v>12.585</v>
      </c>
      <c r="D266" s="25">
        <f>F266</f>
        <v>12.6873</v>
      </c>
      <c r="E266" s="25">
        <f>F266</f>
        <v>12.6873</v>
      </c>
      <c r="F266" s="25">
        <f>ROUND(12.6873,4)</f>
        <v>12.6873</v>
      </c>
      <c r="G266" s="24"/>
      <c r="H266" s="35"/>
    </row>
    <row r="267" spans="1:8" ht="12.75" customHeight="1">
      <c r="A267" s="22">
        <v>43306</v>
      </c>
      <c r="B267" s="22"/>
      <c r="C267" s="25">
        <f>ROUND(12.585,4)</f>
        <v>12.585</v>
      </c>
      <c r="D267" s="25">
        <f>F267</f>
        <v>12.689</v>
      </c>
      <c r="E267" s="25">
        <f>F267</f>
        <v>12.689</v>
      </c>
      <c r="F267" s="25">
        <f>ROUND(12.689,4)</f>
        <v>12.689</v>
      </c>
      <c r="G267" s="24"/>
      <c r="H267" s="35"/>
    </row>
    <row r="268" spans="1:8" ht="12.75" customHeight="1">
      <c r="A268" s="22">
        <v>43308</v>
      </c>
      <c r="B268" s="22"/>
      <c r="C268" s="25">
        <f>ROUND(12.585,4)</f>
        <v>12.585</v>
      </c>
      <c r="D268" s="25">
        <f>F268</f>
        <v>12.6923</v>
      </c>
      <c r="E268" s="25">
        <f>F268</f>
        <v>12.6923</v>
      </c>
      <c r="F268" s="25">
        <f>ROUND(12.6923,4)</f>
        <v>12.6923</v>
      </c>
      <c r="G268" s="24"/>
      <c r="H268" s="35"/>
    </row>
    <row r="269" spans="1:8" ht="12.75" customHeight="1">
      <c r="A269" s="22">
        <v>43312</v>
      </c>
      <c r="B269" s="22"/>
      <c r="C269" s="25">
        <f>ROUND(12.585,4)</f>
        <v>12.585</v>
      </c>
      <c r="D269" s="25">
        <f>F269</f>
        <v>12.6988</v>
      </c>
      <c r="E269" s="25">
        <f>F269</f>
        <v>12.6988</v>
      </c>
      <c r="F269" s="25">
        <f>ROUND(12.6988,4)</f>
        <v>12.6988</v>
      </c>
      <c r="G269" s="24"/>
      <c r="H269" s="35"/>
    </row>
    <row r="270" spans="1:8" ht="12.75" customHeight="1">
      <c r="A270" s="22">
        <v>43319</v>
      </c>
      <c r="B270" s="22"/>
      <c r="C270" s="25">
        <f>ROUND(12.585,4)</f>
        <v>12.585</v>
      </c>
      <c r="D270" s="25">
        <f>F270</f>
        <v>12.7103</v>
      </c>
      <c r="E270" s="25">
        <f>F270</f>
        <v>12.7103</v>
      </c>
      <c r="F270" s="25">
        <f>ROUND(12.7103,4)</f>
        <v>12.7103</v>
      </c>
      <c r="G270" s="24"/>
      <c r="H270" s="35"/>
    </row>
    <row r="271" spans="1:8" ht="12.75" customHeight="1">
      <c r="A271" s="22">
        <v>43325</v>
      </c>
      <c r="B271" s="22"/>
      <c r="C271" s="25">
        <f>ROUND(12.585,4)</f>
        <v>12.585</v>
      </c>
      <c r="D271" s="25">
        <f>F271</f>
        <v>12.7201</v>
      </c>
      <c r="E271" s="25">
        <f>F271</f>
        <v>12.7201</v>
      </c>
      <c r="F271" s="25">
        <f>ROUND(12.7201,4)</f>
        <v>12.7201</v>
      </c>
      <c r="G271" s="24"/>
      <c r="H271" s="35"/>
    </row>
    <row r="272" spans="1:8" ht="12.75" customHeight="1">
      <c r="A272" s="22">
        <v>43343</v>
      </c>
      <c r="B272" s="22"/>
      <c r="C272" s="25">
        <f>ROUND(12.585,4)</f>
        <v>12.585</v>
      </c>
      <c r="D272" s="25">
        <f>F272</f>
        <v>12.7493</v>
      </c>
      <c r="E272" s="25">
        <f>F272</f>
        <v>12.7493</v>
      </c>
      <c r="F272" s="25">
        <f>ROUND(12.7493,4)</f>
        <v>12.7493</v>
      </c>
      <c r="G272" s="24"/>
      <c r="H272" s="35"/>
    </row>
    <row r="273" spans="1:8" ht="12.75" customHeight="1">
      <c r="A273" s="22">
        <v>43371</v>
      </c>
      <c r="B273" s="22"/>
      <c r="C273" s="25">
        <f>ROUND(12.585,4)</f>
        <v>12.585</v>
      </c>
      <c r="D273" s="25">
        <f>F273</f>
        <v>12.7937</v>
      </c>
      <c r="E273" s="25">
        <f>F273</f>
        <v>12.7937</v>
      </c>
      <c r="F273" s="25">
        <f>ROUND(12.7937,4)</f>
        <v>12.7937</v>
      </c>
      <c r="G273" s="24"/>
      <c r="H273" s="35"/>
    </row>
    <row r="274" spans="1:8" ht="12.75" customHeight="1">
      <c r="A274" s="22">
        <v>43398</v>
      </c>
      <c r="B274" s="22"/>
      <c r="C274" s="25">
        <f>ROUND(12.585,4)</f>
        <v>12.585</v>
      </c>
      <c r="D274" s="25">
        <f>F274</f>
        <v>12.8366</v>
      </c>
      <c r="E274" s="25">
        <f>F274</f>
        <v>12.8366</v>
      </c>
      <c r="F274" s="25">
        <f>ROUND(12.8366,4)</f>
        <v>12.8366</v>
      </c>
      <c r="G274" s="24"/>
      <c r="H274" s="35"/>
    </row>
    <row r="275" spans="1:8" ht="12.75" customHeight="1">
      <c r="A275" s="22">
        <v>43402</v>
      </c>
      <c r="B275" s="22"/>
      <c r="C275" s="25">
        <f>ROUND(12.585,4)</f>
        <v>12.585</v>
      </c>
      <c r="D275" s="25">
        <f>F275</f>
        <v>12.8429</v>
      </c>
      <c r="E275" s="25">
        <f>F275</f>
        <v>12.8429</v>
      </c>
      <c r="F275" s="25">
        <f>ROUND(12.8429,4)</f>
        <v>12.8429</v>
      </c>
      <c r="G275" s="24"/>
      <c r="H275" s="35"/>
    </row>
    <row r="276" spans="1:8" ht="12.75" customHeight="1">
      <c r="A276" s="22">
        <v>43404</v>
      </c>
      <c r="B276" s="22"/>
      <c r="C276" s="25">
        <f>ROUND(12.585,4)</f>
        <v>12.585</v>
      </c>
      <c r="D276" s="25">
        <f>F276</f>
        <v>12.8461</v>
      </c>
      <c r="E276" s="25">
        <f>F276</f>
        <v>12.8461</v>
      </c>
      <c r="F276" s="25">
        <f>ROUND(12.8461,4)</f>
        <v>12.8461</v>
      </c>
      <c r="G276" s="24"/>
      <c r="H276" s="35"/>
    </row>
    <row r="277" spans="1:8" ht="12.75" customHeight="1">
      <c r="A277" s="22">
        <v>43409</v>
      </c>
      <c r="B277" s="22"/>
      <c r="C277" s="25">
        <f>ROUND(12.585,4)</f>
        <v>12.585</v>
      </c>
      <c r="D277" s="25">
        <f>F277</f>
        <v>12.854</v>
      </c>
      <c r="E277" s="25">
        <f>F277</f>
        <v>12.854</v>
      </c>
      <c r="F277" s="25">
        <f>ROUND(12.854,4)</f>
        <v>12.854</v>
      </c>
      <c r="G277" s="24"/>
      <c r="H277" s="35"/>
    </row>
    <row r="278" spans="1:8" ht="12.75" customHeight="1">
      <c r="A278" s="22">
        <v>43417</v>
      </c>
      <c r="B278" s="22"/>
      <c r="C278" s="25">
        <f>ROUND(12.585,4)</f>
        <v>12.585</v>
      </c>
      <c r="D278" s="25">
        <f>F278</f>
        <v>12.8667</v>
      </c>
      <c r="E278" s="25">
        <f>F278</f>
        <v>12.8667</v>
      </c>
      <c r="F278" s="25">
        <f>ROUND(12.8667,4)</f>
        <v>12.8667</v>
      </c>
      <c r="G278" s="24"/>
      <c r="H278" s="35"/>
    </row>
    <row r="279" spans="1:8" ht="12.75" customHeight="1">
      <c r="A279" s="22">
        <v>43420</v>
      </c>
      <c r="B279" s="22"/>
      <c r="C279" s="25">
        <f>ROUND(12.585,4)</f>
        <v>12.585</v>
      </c>
      <c r="D279" s="25">
        <f>F279</f>
        <v>12.8715</v>
      </c>
      <c r="E279" s="25">
        <f>F279</f>
        <v>12.8715</v>
      </c>
      <c r="F279" s="25">
        <f>ROUND(12.8715,4)</f>
        <v>12.8715</v>
      </c>
      <c r="G279" s="24"/>
      <c r="H279" s="35"/>
    </row>
    <row r="280" spans="1:8" ht="12.75" customHeight="1">
      <c r="A280" s="22">
        <v>43434</v>
      </c>
      <c r="B280" s="22"/>
      <c r="C280" s="25">
        <f>ROUND(12.585,4)</f>
        <v>12.585</v>
      </c>
      <c r="D280" s="25">
        <f>F280</f>
        <v>12.8936</v>
      </c>
      <c r="E280" s="25">
        <f>F280</f>
        <v>12.8936</v>
      </c>
      <c r="F280" s="25">
        <f>ROUND(12.8936,4)</f>
        <v>12.8936</v>
      </c>
      <c r="G280" s="24"/>
      <c r="H280" s="35"/>
    </row>
    <row r="281" spans="1:8" ht="12.75" customHeight="1">
      <c r="A281" s="22">
        <v>43445</v>
      </c>
      <c r="B281" s="22"/>
      <c r="C281" s="25">
        <f>ROUND(12.585,4)</f>
        <v>12.585</v>
      </c>
      <c r="D281" s="25">
        <f>F281</f>
        <v>12.911</v>
      </c>
      <c r="E281" s="25">
        <f>F281</f>
        <v>12.911</v>
      </c>
      <c r="F281" s="25">
        <f>ROUND(12.911,4)</f>
        <v>12.911</v>
      </c>
      <c r="G281" s="24"/>
      <c r="H281" s="35"/>
    </row>
    <row r="282" spans="1:8" ht="12.75" customHeight="1">
      <c r="A282" s="22">
        <v>43465</v>
      </c>
      <c r="B282" s="22"/>
      <c r="C282" s="25">
        <f>ROUND(12.585,4)</f>
        <v>12.585</v>
      </c>
      <c r="D282" s="25">
        <f>F282</f>
        <v>12.9425</v>
      </c>
      <c r="E282" s="25">
        <f>F282</f>
        <v>12.9425</v>
      </c>
      <c r="F282" s="25">
        <f>ROUND(12.9425,4)</f>
        <v>12.9425</v>
      </c>
      <c r="G282" s="24"/>
      <c r="H282" s="35"/>
    </row>
    <row r="283" spans="1:8" ht="12.75" customHeight="1">
      <c r="A283" s="22">
        <v>43496</v>
      </c>
      <c r="B283" s="22"/>
      <c r="C283" s="25">
        <f>ROUND(12.585,4)</f>
        <v>12.585</v>
      </c>
      <c r="D283" s="25">
        <f>F283</f>
        <v>12.9913</v>
      </c>
      <c r="E283" s="25">
        <f>F283</f>
        <v>12.9913</v>
      </c>
      <c r="F283" s="25">
        <f>ROUND(12.9913,4)</f>
        <v>12.9913</v>
      </c>
      <c r="G283" s="24"/>
      <c r="H283" s="35"/>
    </row>
    <row r="284" spans="1:8" ht="12.75" customHeight="1">
      <c r="A284" s="22">
        <v>43509</v>
      </c>
      <c r="B284" s="22"/>
      <c r="C284" s="25">
        <f>ROUND(12.585,4)</f>
        <v>12.585</v>
      </c>
      <c r="D284" s="25">
        <f>F284</f>
        <v>13.0117</v>
      </c>
      <c r="E284" s="25">
        <f>F284</f>
        <v>13.0117</v>
      </c>
      <c r="F284" s="25">
        <f>ROUND(13.0117,4)</f>
        <v>13.0117</v>
      </c>
      <c r="G284" s="24"/>
      <c r="H284" s="35"/>
    </row>
    <row r="285" spans="1:8" ht="12.75" customHeight="1">
      <c r="A285" s="22">
        <v>43524</v>
      </c>
      <c r="B285" s="22"/>
      <c r="C285" s="25">
        <f>ROUND(12.585,4)</f>
        <v>12.585</v>
      </c>
      <c r="D285" s="25">
        <f>F285</f>
        <v>13.0353</v>
      </c>
      <c r="E285" s="25">
        <f>F285</f>
        <v>13.0353</v>
      </c>
      <c r="F285" s="25">
        <f>ROUND(13.0353,4)</f>
        <v>13.0353</v>
      </c>
      <c r="G285" s="24"/>
      <c r="H285" s="35"/>
    </row>
    <row r="286" spans="1:8" ht="12.75" customHeight="1">
      <c r="A286" s="22">
        <v>43551</v>
      </c>
      <c r="B286" s="22"/>
      <c r="C286" s="25">
        <f>ROUND(12.585,4)</f>
        <v>12.585</v>
      </c>
      <c r="D286" s="25">
        <f>F286</f>
        <v>13.0774</v>
      </c>
      <c r="E286" s="25">
        <f>F286</f>
        <v>13.0774</v>
      </c>
      <c r="F286" s="25">
        <f>ROUND(13.0774,4)</f>
        <v>13.0774</v>
      </c>
      <c r="G286" s="24"/>
      <c r="H286" s="35"/>
    </row>
    <row r="287" spans="1:8" ht="12.75" customHeight="1">
      <c r="A287" s="22">
        <v>43585</v>
      </c>
      <c r="B287" s="22"/>
      <c r="C287" s="25">
        <f>ROUND(12.585,4)</f>
        <v>12.585</v>
      </c>
      <c r="D287" s="25">
        <f>F287</f>
        <v>13.1305</v>
      </c>
      <c r="E287" s="25">
        <f>F287</f>
        <v>13.1305</v>
      </c>
      <c r="F287" s="25">
        <f>ROUND(13.1305,4)</f>
        <v>13.1305</v>
      </c>
      <c r="G287" s="24"/>
      <c r="H287" s="35"/>
    </row>
    <row r="288" spans="1:8" ht="12.75" customHeight="1">
      <c r="A288" s="22">
        <v>44040</v>
      </c>
      <c r="B288" s="22"/>
      <c r="C288" s="25">
        <f>ROUND(12.585,4)</f>
        <v>12.585</v>
      </c>
      <c r="D288" s="25">
        <f>F288</f>
        <v>13.843</v>
      </c>
      <c r="E288" s="25">
        <f>F288</f>
        <v>13.843</v>
      </c>
      <c r="F288" s="25">
        <f>ROUND(13.843,4)</f>
        <v>13.843</v>
      </c>
      <c r="G288" s="24"/>
      <c r="H288" s="35"/>
    </row>
    <row r="289" spans="1:8" ht="12.75" customHeight="1">
      <c r="A289" s="22" t="s">
        <v>64</v>
      </c>
      <c r="B289" s="22"/>
      <c r="C289" s="23"/>
      <c r="D289" s="23"/>
      <c r="E289" s="23"/>
      <c r="F289" s="23"/>
      <c r="G289" s="24"/>
      <c r="H289" s="35"/>
    </row>
    <row r="290" spans="1:8" ht="12.75" customHeight="1">
      <c r="A290" s="22">
        <v>43280</v>
      </c>
      <c r="B290" s="22"/>
      <c r="C290" s="25">
        <f>ROUND(8.82061978545888,4)</f>
        <v>8.8206</v>
      </c>
      <c r="D290" s="25">
        <f>F290</f>
        <v>8.7576</v>
      </c>
      <c r="E290" s="25">
        <f>F290</f>
        <v>8.7576</v>
      </c>
      <c r="F290" s="25">
        <f>ROUND(8.7576,4)</f>
        <v>8.7576</v>
      </c>
      <c r="G290" s="24"/>
      <c r="H290" s="35"/>
    </row>
    <row r="291" spans="1:8" ht="12.75" customHeight="1">
      <c r="A291" s="22" t="s">
        <v>65</v>
      </c>
      <c r="B291" s="22"/>
      <c r="C291" s="23"/>
      <c r="D291" s="23"/>
      <c r="E291" s="23"/>
      <c r="F291" s="23"/>
      <c r="G291" s="24"/>
      <c r="H291" s="35"/>
    </row>
    <row r="292" spans="1:8" ht="12.75" customHeight="1">
      <c r="A292" s="22">
        <v>43269</v>
      </c>
      <c r="B292" s="22"/>
      <c r="C292" s="25">
        <f>ROUND(1.1773,4)</f>
        <v>1.1773</v>
      </c>
      <c r="D292" s="25">
        <f>F292</f>
        <v>1.1793</v>
      </c>
      <c r="E292" s="25">
        <f>F292</f>
        <v>1.1793</v>
      </c>
      <c r="F292" s="25">
        <f>ROUND(1.1793,4)</f>
        <v>1.1793</v>
      </c>
      <c r="G292" s="24"/>
      <c r="H292" s="35"/>
    </row>
    <row r="293" spans="1:8" ht="12.75" customHeight="1">
      <c r="A293" s="22">
        <v>43360</v>
      </c>
      <c r="B293" s="22"/>
      <c r="C293" s="25">
        <f>ROUND(1.1773,4)</f>
        <v>1.1773</v>
      </c>
      <c r="D293" s="25">
        <f>F293</f>
        <v>1.1878</v>
      </c>
      <c r="E293" s="25">
        <f>F293</f>
        <v>1.1878</v>
      </c>
      <c r="F293" s="25">
        <f>ROUND(1.1878,4)</f>
        <v>1.1878</v>
      </c>
      <c r="G293" s="24"/>
      <c r="H293" s="35"/>
    </row>
    <row r="294" spans="1:8" ht="12.75" customHeight="1">
      <c r="A294" s="22">
        <v>43448</v>
      </c>
      <c r="B294" s="22"/>
      <c r="C294" s="25">
        <f>ROUND(1.1773,4)</f>
        <v>1.1773</v>
      </c>
      <c r="D294" s="25">
        <f>F294</f>
        <v>1.1965</v>
      </c>
      <c r="E294" s="25">
        <f>F294</f>
        <v>1.1965</v>
      </c>
      <c r="F294" s="25">
        <f>ROUND(1.1965,4)</f>
        <v>1.1965</v>
      </c>
      <c r="G294" s="24"/>
      <c r="H294" s="35"/>
    </row>
    <row r="295" spans="1:8" ht="12.75" customHeight="1">
      <c r="A295" s="22">
        <v>43542</v>
      </c>
      <c r="B295" s="22"/>
      <c r="C295" s="25">
        <f>ROUND(1.1773,4)</f>
        <v>1.1773</v>
      </c>
      <c r="D295" s="25">
        <f>F295</f>
        <v>1.2068</v>
      </c>
      <c r="E295" s="25">
        <f>F295</f>
        <v>1.2068</v>
      </c>
      <c r="F295" s="25">
        <f>ROUND(1.2068,4)</f>
        <v>1.2068</v>
      </c>
      <c r="G295" s="24"/>
      <c r="H295" s="35"/>
    </row>
    <row r="296" spans="1:8" ht="12.75" customHeight="1">
      <c r="A296" s="22" t="s">
        <v>66</v>
      </c>
      <c r="B296" s="22"/>
      <c r="C296" s="23"/>
      <c r="D296" s="23"/>
      <c r="E296" s="23"/>
      <c r="F296" s="23"/>
      <c r="G296" s="24"/>
      <c r="H296" s="35"/>
    </row>
    <row r="297" spans="1:8" ht="12.75" customHeight="1">
      <c r="A297" s="22">
        <v>43269</v>
      </c>
      <c r="B297" s="22"/>
      <c r="C297" s="25">
        <f>ROUND(1.34208571428571,4)</f>
        <v>1.3421</v>
      </c>
      <c r="D297" s="25">
        <f>F297</f>
        <v>1.3434</v>
      </c>
      <c r="E297" s="25">
        <f>F297</f>
        <v>1.3434</v>
      </c>
      <c r="F297" s="25">
        <f>ROUND(1.3434,4)</f>
        <v>1.3434</v>
      </c>
      <c r="G297" s="24"/>
      <c r="H297" s="35"/>
    </row>
    <row r="298" spans="1:8" ht="12.75" customHeight="1">
      <c r="A298" s="22">
        <v>43360</v>
      </c>
      <c r="B298" s="22"/>
      <c r="C298" s="25">
        <f>ROUND(1.34208571428571,4)</f>
        <v>1.3421</v>
      </c>
      <c r="D298" s="25">
        <f>F298</f>
        <v>1.3495</v>
      </c>
      <c r="E298" s="25">
        <f>F298</f>
        <v>1.3495</v>
      </c>
      <c r="F298" s="25">
        <f>ROUND(1.3495,4)</f>
        <v>1.3495</v>
      </c>
      <c r="G298" s="24"/>
      <c r="H298" s="35"/>
    </row>
    <row r="299" spans="1:8" ht="12.75" customHeight="1">
      <c r="A299" s="22">
        <v>43448</v>
      </c>
      <c r="B299" s="22"/>
      <c r="C299" s="25">
        <f>ROUND(1.34208571428571,4)</f>
        <v>1.3421</v>
      </c>
      <c r="D299" s="25">
        <f>F299</f>
        <v>1.3553</v>
      </c>
      <c r="E299" s="25">
        <f>F299</f>
        <v>1.3553</v>
      </c>
      <c r="F299" s="25">
        <f>ROUND(1.3553,4)</f>
        <v>1.3553</v>
      </c>
      <c r="G299" s="24"/>
      <c r="H299" s="35"/>
    </row>
    <row r="300" spans="1:8" ht="12.75" customHeight="1">
      <c r="A300" s="22">
        <v>43542</v>
      </c>
      <c r="B300" s="22"/>
      <c r="C300" s="25">
        <f>ROUND(1.34208571428571,4)</f>
        <v>1.3421</v>
      </c>
      <c r="D300" s="25">
        <f>F300</f>
        <v>1.3622</v>
      </c>
      <c r="E300" s="25">
        <f>F300</f>
        <v>1.3622</v>
      </c>
      <c r="F300" s="25">
        <f>ROUND(1.3622,4)</f>
        <v>1.3622</v>
      </c>
      <c r="G300" s="24"/>
      <c r="H300" s="35"/>
    </row>
    <row r="301" spans="1:8" ht="12.75" customHeight="1">
      <c r="A301" s="22" t="s">
        <v>67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ROUND(8.82061978545888,4)</f>
        <v>8.8206</v>
      </c>
      <c r="D302" s="25">
        <f>F302</f>
        <v>8.778</v>
      </c>
      <c r="E302" s="25">
        <f>F302</f>
        <v>8.778</v>
      </c>
      <c r="F302" s="25">
        <f>ROUND(8.778,4)</f>
        <v>8.778</v>
      </c>
      <c r="G302" s="24"/>
      <c r="H302" s="35"/>
    </row>
    <row r="303" spans="1:8" ht="12.75" customHeight="1">
      <c r="A303" s="22">
        <v>43360</v>
      </c>
      <c r="B303" s="22"/>
      <c r="C303" s="25">
        <f>ROUND(8.82061978545888,4)</f>
        <v>8.8206</v>
      </c>
      <c r="D303" s="25">
        <f>F303</f>
        <v>8.6187</v>
      </c>
      <c r="E303" s="25">
        <f>F303</f>
        <v>8.6187</v>
      </c>
      <c r="F303" s="25">
        <f>ROUND(8.6187,4)</f>
        <v>8.6187</v>
      </c>
      <c r="G303" s="24"/>
      <c r="H303" s="35"/>
    </row>
    <row r="304" spans="1:8" ht="12.75" customHeight="1">
      <c r="A304" s="22">
        <v>43448</v>
      </c>
      <c r="B304" s="22"/>
      <c r="C304" s="25">
        <f>ROUND(8.82061978545888,4)</f>
        <v>8.8206</v>
      </c>
      <c r="D304" s="25">
        <f>F304</f>
        <v>8.4671</v>
      </c>
      <c r="E304" s="25">
        <f>F304</f>
        <v>8.4671</v>
      </c>
      <c r="F304" s="25">
        <f>ROUND(8.4671,4)</f>
        <v>8.4671</v>
      </c>
      <c r="G304" s="24"/>
      <c r="H304" s="35"/>
    </row>
    <row r="305" spans="1:8" ht="12.75" customHeight="1">
      <c r="A305" s="22" t="s">
        <v>68</v>
      </c>
      <c r="B305" s="22"/>
      <c r="C305" s="23"/>
      <c r="D305" s="23"/>
      <c r="E305" s="23"/>
      <c r="F305" s="23"/>
      <c r="G305" s="24"/>
      <c r="H305" s="35"/>
    </row>
    <row r="306" spans="1:8" ht="12.75" customHeight="1">
      <c r="A306" s="22">
        <v>43269</v>
      </c>
      <c r="B306" s="22"/>
      <c r="C306" s="25">
        <f>ROUND(9.547924875,4)</f>
        <v>9.5479</v>
      </c>
      <c r="D306" s="25">
        <f>F306</f>
        <v>9.5806</v>
      </c>
      <c r="E306" s="25">
        <f>F306</f>
        <v>9.5806</v>
      </c>
      <c r="F306" s="25">
        <f>ROUND(9.5806,4)</f>
        <v>9.5806</v>
      </c>
      <c r="G306" s="24"/>
      <c r="H306" s="35"/>
    </row>
    <row r="307" spans="1:8" ht="12.75" customHeight="1">
      <c r="A307" s="22">
        <v>43360</v>
      </c>
      <c r="B307" s="22"/>
      <c r="C307" s="25">
        <f>ROUND(9.547924875,4)</f>
        <v>9.5479</v>
      </c>
      <c r="D307" s="25">
        <f>F307</f>
        <v>9.7012</v>
      </c>
      <c r="E307" s="25">
        <f>F307</f>
        <v>9.7012</v>
      </c>
      <c r="F307" s="25">
        <f>ROUND(9.7012,4)</f>
        <v>9.7012</v>
      </c>
      <c r="G307" s="24"/>
      <c r="H307" s="35"/>
    </row>
    <row r="308" spans="1:8" ht="12.75" customHeight="1">
      <c r="A308" s="22">
        <v>43448</v>
      </c>
      <c r="B308" s="22"/>
      <c r="C308" s="25">
        <f>ROUND(9.547924875,4)</f>
        <v>9.5479</v>
      </c>
      <c r="D308" s="25">
        <f>F308</f>
        <v>9.817</v>
      </c>
      <c r="E308" s="25">
        <f>F308</f>
        <v>9.817</v>
      </c>
      <c r="F308" s="25">
        <f>ROUND(9.817,4)</f>
        <v>9.817</v>
      </c>
      <c r="G308" s="24"/>
      <c r="H308" s="35"/>
    </row>
    <row r="309" spans="1:8" ht="12.75" customHeight="1">
      <c r="A309" s="22">
        <v>43542</v>
      </c>
      <c r="B309" s="22"/>
      <c r="C309" s="25">
        <f>ROUND(9.547924875,4)</f>
        <v>9.5479</v>
      </c>
      <c r="D309" s="25">
        <f>F309</f>
        <v>9.9424</v>
      </c>
      <c r="E309" s="25">
        <f>F309</f>
        <v>9.9424</v>
      </c>
      <c r="F309" s="25">
        <f>ROUND(9.9424,4)</f>
        <v>9.9424</v>
      </c>
      <c r="G309" s="24"/>
      <c r="H309" s="35"/>
    </row>
    <row r="310" spans="1:8" ht="12.75" customHeight="1">
      <c r="A310" s="22">
        <v>43630</v>
      </c>
      <c r="B310" s="22"/>
      <c r="C310" s="25">
        <f>ROUND(9.547924875,4)</f>
        <v>9.5479</v>
      </c>
      <c r="D310" s="25">
        <f>F310</f>
        <v>10.0594</v>
      </c>
      <c r="E310" s="25">
        <f>F310</f>
        <v>10.0594</v>
      </c>
      <c r="F310" s="25">
        <f>ROUND(10.0594,4)</f>
        <v>10.0594</v>
      </c>
      <c r="G310" s="24"/>
      <c r="H310" s="35"/>
    </row>
    <row r="311" spans="1:8" ht="12.75" customHeight="1">
      <c r="A311" s="22">
        <v>43724</v>
      </c>
      <c r="B311" s="22"/>
      <c r="C311" s="25">
        <f>ROUND(9.547924875,4)</f>
        <v>9.5479</v>
      </c>
      <c r="D311" s="25">
        <f>F311</f>
        <v>10.1814</v>
      </c>
      <c r="E311" s="25">
        <f>F311</f>
        <v>10.1814</v>
      </c>
      <c r="F311" s="25">
        <f>ROUND(10.1814,4)</f>
        <v>10.1814</v>
      </c>
      <c r="G311" s="24"/>
      <c r="H311" s="35"/>
    </row>
    <row r="312" spans="1:8" ht="12.75" customHeight="1">
      <c r="A312" s="22">
        <v>43812</v>
      </c>
      <c r="B312" s="22"/>
      <c r="C312" s="25">
        <f>ROUND(9.547924875,4)</f>
        <v>9.5479</v>
      </c>
      <c r="D312" s="25">
        <f>F312</f>
        <v>10.2955</v>
      </c>
      <c r="E312" s="25">
        <f>F312</f>
        <v>10.2955</v>
      </c>
      <c r="F312" s="25">
        <f>ROUND(10.2955,4)</f>
        <v>10.2955</v>
      </c>
      <c r="G312" s="24"/>
      <c r="H312" s="35"/>
    </row>
    <row r="313" spans="1:8" ht="12.75" customHeight="1">
      <c r="A313" s="22">
        <v>43906</v>
      </c>
      <c r="B313" s="22"/>
      <c r="C313" s="25">
        <f>ROUND(9.547924875,4)</f>
        <v>9.5479</v>
      </c>
      <c r="D313" s="25">
        <f>F313</f>
        <v>10.4172</v>
      </c>
      <c r="E313" s="25">
        <f>F313</f>
        <v>10.4172</v>
      </c>
      <c r="F313" s="25">
        <f>ROUND(10.4172,4)</f>
        <v>10.4172</v>
      </c>
      <c r="G313" s="24"/>
      <c r="H313" s="35"/>
    </row>
    <row r="314" spans="1:8" ht="12.75" customHeight="1">
      <c r="A314" s="22" t="s">
        <v>69</v>
      </c>
      <c r="B314" s="22"/>
      <c r="C314" s="23"/>
      <c r="D314" s="23"/>
      <c r="E314" s="23"/>
      <c r="F314" s="23"/>
      <c r="G314" s="24"/>
      <c r="H314" s="35"/>
    </row>
    <row r="315" spans="1:8" ht="12.75" customHeight="1">
      <c r="A315" s="22">
        <v>43269</v>
      </c>
      <c r="B315" s="22"/>
      <c r="C315" s="25">
        <f>ROUND(3.42626119626474,4)</f>
        <v>3.4263</v>
      </c>
      <c r="D315" s="25">
        <f>F315</f>
        <v>3.6671</v>
      </c>
      <c r="E315" s="25">
        <f>F315</f>
        <v>3.6671</v>
      </c>
      <c r="F315" s="25">
        <f>ROUND(3.6671,4)</f>
        <v>3.6671</v>
      </c>
      <c r="G315" s="24"/>
      <c r="H315" s="35"/>
    </row>
    <row r="316" spans="1:8" ht="12.75" customHeight="1">
      <c r="A316" s="22">
        <v>43360</v>
      </c>
      <c r="B316" s="22"/>
      <c r="C316" s="25">
        <f>ROUND(3.42626119626474,4)</f>
        <v>3.4263</v>
      </c>
      <c r="D316" s="25">
        <f>F316</f>
        <v>3.7052</v>
      </c>
      <c r="E316" s="25">
        <f>F316</f>
        <v>3.7052</v>
      </c>
      <c r="F316" s="25">
        <f>ROUND(3.7052,4)</f>
        <v>3.7052</v>
      </c>
      <c r="G316" s="24"/>
      <c r="H316" s="35"/>
    </row>
    <row r="317" spans="1:8" ht="12.75" customHeight="1">
      <c r="A317" s="22">
        <v>43448</v>
      </c>
      <c r="B317" s="22"/>
      <c r="C317" s="25">
        <f>ROUND(3.42626119626474,4)</f>
        <v>3.4263</v>
      </c>
      <c r="D317" s="25">
        <f>F317</f>
        <v>3.7433</v>
      </c>
      <c r="E317" s="25">
        <f>F317</f>
        <v>3.7433</v>
      </c>
      <c r="F317" s="25">
        <f>ROUND(3.7433,4)</f>
        <v>3.7433</v>
      </c>
      <c r="G317" s="24"/>
      <c r="H317" s="35"/>
    </row>
    <row r="318" spans="1:8" ht="12.75" customHeight="1">
      <c r="A318" s="22" t="s">
        <v>70</v>
      </c>
      <c r="B318" s="22"/>
      <c r="C318" s="23"/>
      <c r="D318" s="23"/>
      <c r="E318" s="23"/>
      <c r="F318" s="23"/>
      <c r="G318" s="24"/>
      <c r="H318" s="35"/>
    </row>
    <row r="319" spans="1:8" ht="12.75" customHeight="1">
      <c r="A319" s="22">
        <v>43269</v>
      </c>
      <c r="B319" s="22"/>
      <c r="C319" s="25">
        <f>ROUND(1.2647925,4)</f>
        <v>1.2648</v>
      </c>
      <c r="D319" s="25">
        <f>F319</f>
        <v>1.2671</v>
      </c>
      <c r="E319" s="25">
        <f>F319</f>
        <v>1.2671</v>
      </c>
      <c r="F319" s="25">
        <f>ROUND(1.2671,4)</f>
        <v>1.2671</v>
      </c>
      <c r="G319" s="24"/>
      <c r="H319" s="35"/>
    </row>
    <row r="320" spans="1:8" ht="12.75" customHeight="1">
      <c r="A320" s="22">
        <v>43360</v>
      </c>
      <c r="B320" s="22"/>
      <c r="C320" s="25">
        <f>ROUND(1.2647925,4)</f>
        <v>1.2648</v>
      </c>
      <c r="D320" s="25">
        <f>F320</f>
        <v>1.2756</v>
      </c>
      <c r="E320" s="25">
        <f>F320</f>
        <v>1.2756</v>
      </c>
      <c r="F320" s="25">
        <f>ROUND(1.2756,4)</f>
        <v>1.2756</v>
      </c>
      <c r="G320" s="24"/>
      <c r="H320" s="35"/>
    </row>
    <row r="321" spans="1:8" ht="12.75" customHeight="1">
      <c r="A321" s="22">
        <v>43448</v>
      </c>
      <c r="B321" s="22"/>
      <c r="C321" s="25">
        <f>ROUND(1.2647925,4)</f>
        <v>1.2648</v>
      </c>
      <c r="D321" s="25">
        <f>F321</f>
        <v>1.2836</v>
      </c>
      <c r="E321" s="25">
        <f>F321</f>
        <v>1.2836</v>
      </c>
      <c r="F321" s="25">
        <f>ROUND(1.2836,4)</f>
        <v>1.2836</v>
      </c>
      <c r="G321" s="24"/>
      <c r="H321" s="35"/>
    </row>
    <row r="322" spans="1:8" ht="12.75" customHeight="1">
      <c r="A322" s="22">
        <v>43542</v>
      </c>
      <c r="B322" s="22"/>
      <c r="C322" s="25">
        <f>ROUND(1.2647925,4)</f>
        <v>1.2648</v>
      </c>
      <c r="D322" s="25">
        <f>F322</f>
        <v>1.292</v>
      </c>
      <c r="E322" s="25">
        <f>F322</f>
        <v>1.292</v>
      </c>
      <c r="F322" s="25">
        <f>ROUND(1.292,4)</f>
        <v>1.292</v>
      </c>
      <c r="G322" s="24"/>
      <c r="H322" s="35"/>
    </row>
    <row r="323" spans="1:8" ht="12.75" customHeight="1">
      <c r="A323" s="22">
        <v>43630</v>
      </c>
      <c r="B323" s="22"/>
      <c r="C323" s="25">
        <f>ROUND(1.2647925,4)</f>
        <v>1.2648</v>
      </c>
      <c r="D323" s="25">
        <f>F323</f>
        <v>1.3421</v>
      </c>
      <c r="E323" s="25">
        <f>F323</f>
        <v>1.3421</v>
      </c>
      <c r="F323" s="25">
        <f>ROUND(1.3421,4)</f>
        <v>1.3421</v>
      </c>
      <c r="G323" s="24"/>
      <c r="H323" s="35"/>
    </row>
    <row r="324" spans="1:8" ht="12.75" customHeight="1">
      <c r="A324" s="22">
        <v>43724</v>
      </c>
      <c r="B324" s="22"/>
      <c r="C324" s="25">
        <f>ROUND(1.2647925,4)</f>
        <v>1.2648</v>
      </c>
      <c r="D324" s="25">
        <f>F324</f>
        <v>1.3606</v>
      </c>
      <c r="E324" s="25">
        <f>F324</f>
        <v>1.3606</v>
      </c>
      <c r="F324" s="25">
        <f>ROUND(1.3606,4)</f>
        <v>1.3606</v>
      </c>
      <c r="G324" s="24"/>
      <c r="H324" s="35"/>
    </row>
    <row r="325" spans="1:8" ht="12.75" customHeight="1">
      <c r="A325" s="22">
        <v>43812</v>
      </c>
      <c r="B325" s="22"/>
      <c r="C325" s="25">
        <f>ROUND(1.2647925,4)</f>
        <v>1.2648</v>
      </c>
      <c r="D325" s="25">
        <f>F325</f>
        <v>1.3662</v>
      </c>
      <c r="E325" s="25">
        <f>F325</f>
        <v>1.3662</v>
      </c>
      <c r="F325" s="25">
        <f>ROUND(1.3662,4)</f>
        <v>1.3662</v>
      </c>
      <c r="G325" s="24"/>
      <c r="H325" s="35"/>
    </row>
    <row r="326" spans="1:8" ht="12.75" customHeight="1">
      <c r="A326" s="22">
        <v>43906</v>
      </c>
      <c r="B326" s="22"/>
      <c r="C326" s="25">
        <f>ROUND(1.2647925,4)</f>
        <v>1.2648</v>
      </c>
      <c r="D326" s="25">
        <f>F326</f>
        <v>1.3699</v>
      </c>
      <c r="E326" s="25">
        <f>F326</f>
        <v>1.3699</v>
      </c>
      <c r="F326" s="25">
        <f>ROUND(1.3699,4)</f>
        <v>1.3699</v>
      </c>
      <c r="G326" s="24"/>
      <c r="H326" s="35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5"/>
    </row>
    <row r="328" spans="1:8" ht="12.75" customHeight="1">
      <c r="A328" s="22">
        <v>43269</v>
      </c>
      <c r="B328" s="22"/>
      <c r="C328" s="25">
        <f>ROUND(9.85011544632724,4)</f>
        <v>9.8501</v>
      </c>
      <c r="D328" s="25">
        <f>F328</f>
        <v>9.8874</v>
      </c>
      <c r="E328" s="25">
        <f>F328</f>
        <v>9.8874</v>
      </c>
      <c r="F328" s="25">
        <f>ROUND(9.8874,4)</f>
        <v>9.8874</v>
      </c>
      <c r="G328" s="24"/>
      <c r="H328" s="35"/>
    </row>
    <row r="329" spans="1:8" ht="12.75" customHeight="1">
      <c r="A329" s="22">
        <v>43360</v>
      </c>
      <c r="B329" s="22"/>
      <c r="C329" s="25">
        <f>ROUND(9.85011544632724,4)</f>
        <v>9.8501</v>
      </c>
      <c r="D329" s="25">
        <f>F329</f>
        <v>10.0249</v>
      </c>
      <c r="E329" s="25">
        <f>F329</f>
        <v>10.0249</v>
      </c>
      <c r="F329" s="25">
        <f>ROUND(10.0249,4)</f>
        <v>10.0249</v>
      </c>
      <c r="G329" s="24"/>
      <c r="H329" s="35"/>
    </row>
    <row r="330" spans="1:8" ht="12.75" customHeight="1">
      <c r="A330" s="22">
        <v>43448</v>
      </c>
      <c r="B330" s="22"/>
      <c r="C330" s="25">
        <f>ROUND(9.85011544632724,4)</f>
        <v>9.8501</v>
      </c>
      <c r="D330" s="25">
        <f>F330</f>
        <v>10.151</v>
      </c>
      <c r="E330" s="25">
        <f>F330</f>
        <v>10.151</v>
      </c>
      <c r="F330" s="25">
        <f>ROUND(10.151,4)</f>
        <v>10.151</v>
      </c>
      <c r="G330" s="24"/>
      <c r="H330" s="35"/>
    </row>
    <row r="331" spans="1:8" ht="12.75" customHeight="1">
      <c r="A331" s="22">
        <v>43542</v>
      </c>
      <c r="B331" s="22"/>
      <c r="C331" s="25">
        <f>ROUND(9.85011544632724,4)</f>
        <v>9.8501</v>
      </c>
      <c r="D331" s="25">
        <f>F331</f>
        <v>10.1688</v>
      </c>
      <c r="E331" s="25">
        <f>F331</f>
        <v>10.1688</v>
      </c>
      <c r="F331" s="25">
        <f>ROUND(10.1688,4)</f>
        <v>10.1688</v>
      </c>
      <c r="G331" s="24"/>
      <c r="H331" s="35"/>
    </row>
    <row r="332" spans="1:8" ht="12.75" customHeight="1">
      <c r="A332" s="22">
        <v>43630</v>
      </c>
      <c r="B332" s="22"/>
      <c r="C332" s="25">
        <f>ROUND(9.85011544632724,4)</f>
        <v>9.8501</v>
      </c>
      <c r="D332" s="25">
        <f>F332</f>
        <v>10.2995</v>
      </c>
      <c r="E332" s="25">
        <f>F332</f>
        <v>10.2995</v>
      </c>
      <c r="F332" s="25">
        <f>ROUND(10.2995,4)</f>
        <v>10.2995</v>
      </c>
      <c r="G332" s="24"/>
      <c r="H332" s="35"/>
    </row>
    <row r="333" spans="1:8" ht="12.75" customHeight="1">
      <c r="A333" s="22">
        <v>43724</v>
      </c>
      <c r="B333" s="22"/>
      <c r="C333" s="25">
        <f>ROUND(9.85011544632724,4)</f>
        <v>9.8501</v>
      </c>
      <c r="D333" s="25">
        <f>F333</f>
        <v>10.4217</v>
      </c>
      <c r="E333" s="25">
        <f>F333</f>
        <v>10.4217</v>
      </c>
      <c r="F333" s="25">
        <f>ROUND(10.4217,4)</f>
        <v>10.4217</v>
      </c>
      <c r="G333" s="24"/>
      <c r="H333" s="35"/>
    </row>
    <row r="334" spans="1:8" ht="12.75" customHeight="1">
      <c r="A334" s="22">
        <v>43812</v>
      </c>
      <c r="B334" s="22"/>
      <c r="C334" s="25">
        <f>ROUND(9.85011544632724,4)</f>
        <v>9.8501</v>
      </c>
      <c r="D334" s="25">
        <f>F334</f>
        <v>10.4402</v>
      </c>
      <c r="E334" s="25">
        <f>F334</f>
        <v>10.4402</v>
      </c>
      <c r="F334" s="25">
        <f>ROUND(10.4402,4)</f>
        <v>10.4402</v>
      </c>
      <c r="G334" s="24"/>
      <c r="H334" s="35"/>
    </row>
    <row r="335" spans="1:8" ht="12.75" customHeight="1">
      <c r="A335" s="22">
        <v>43906</v>
      </c>
      <c r="B335" s="22"/>
      <c r="C335" s="25">
        <f>ROUND(9.85011544632724,4)</f>
        <v>9.8501</v>
      </c>
      <c r="D335" s="25">
        <f>F335</f>
        <v>10.5426</v>
      </c>
      <c r="E335" s="25">
        <f>F335</f>
        <v>10.5426</v>
      </c>
      <c r="F335" s="25">
        <f>ROUND(10.5426,4)</f>
        <v>10.5426</v>
      </c>
      <c r="G335" s="24"/>
      <c r="H335" s="35"/>
    </row>
    <row r="336" spans="1:8" ht="12.75" customHeight="1">
      <c r="A336" s="22" t="s">
        <v>72</v>
      </c>
      <c r="B336" s="22"/>
      <c r="C336" s="23"/>
      <c r="D336" s="23"/>
      <c r="E336" s="23"/>
      <c r="F336" s="23"/>
      <c r="G336" s="24"/>
      <c r="H336" s="35"/>
    </row>
    <row r="337" spans="1:8" ht="12.75" customHeight="1">
      <c r="A337" s="22">
        <v>43269</v>
      </c>
      <c r="B337" s="22"/>
      <c r="C337" s="25">
        <f>ROUND(1.98790903437581,4)</f>
        <v>1.9879</v>
      </c>
      <c r="D337" s="25">
        <f>F337</f>
        <v>1.9858</v>
      </c>
      <c r="E337" s="25">
        <f>F337</f>
        <v>1.9858</v>
      </c>
      <c r="F337" s="25">
        <f>ROUND(1.9858,4)</f>
        <v>1.9858</v>
      </c>
      <c r="G337" s="24"/>
      <c r="H337" s="35"/>
    </row>
    <row r="338" spans="1:8" ht="12.75" customHeight="1">
      <c r="A338" s="22">
        <v>43360</v>
      </c>
      <c r="B338" s="22"/>
      <c r="C338" s="25">
        <f>ROUND(1.98790903437581,4)</f>
        <v>1.9879</v>
      </c>
      <c r="D338" s="25">
        <f>F338</f>
        <v>2.002</v>
      </c>
      <c r="E338" s="25">
        <f>F338</f>
        <v>2.002</v>
      </c>
      <c r="F338" s="25">
        <f>ROUND(2.002,4)</f>
        <v>2.002</v>
      </c>
      <c r="G338" s="24"/>
      <c r="H338" s="35"/>
    </row>
    <row r="339" spans="1:8" ht="12.75" customHeight="1">
      <c r="A339" s="22">
        <v>43448</v>
      </c>
      <c r="B339" s="22"/>
      <c r="C339" s="25">
        <f>ROUND(1.98790903437581,4)</f>
        <v>1.9879</v>
      </c>
      <c r="D339" s="25">
        <f>F339</f>
        <v>2.0174</v>
      </c>
      <c r="E339" s="25">
        <f>F339</f>
        <v>2.0174</v>
      </c>
      <c r="F339" s="25">
        <f>ROUND(2.0174,4)</f>
        <v>2.0174</v>
      </c>
      <c r="G339" s="24"/>
      <c r="H339" s="35"/>
    </row>
    <row r="340" spans="1:8" ht="12.75" customHeight="1">
      <c r="A340" s="22">
        <v>43542</v>
      </c>
      <c r="B340" s="22"/>
      <c r="C340" s="25">
        <f>ROUND(1.98790903437581,4)</f>
        <v>1.9879</v>
      </c>
      <c r="D340" s="25">
        <f>F340</f>
        <v>2.0336</v>
      </c>
      <c r="E340" s="25">
        <f>F340</f>
        <v>2.0336</v>
      </c>
      <c r="F340" s="25">
        <f>ROUND(2.0336,4)</f>
        <v>2.0336</v>
      </c>
      <c r="G340" s="24"/>
      <c r="H340" s="35"/>
    </row>
    <row r="341" spans="1:8" ht="12.75" customHeight="1">
      <c r="A341" s="22">
        <v>43630</v>
      </c>
      <c r="B341" s="22"/>
      <c r="C341" s="25">
        <f>ROUND(1.98790903437581,4)</f>
        <v>1.9879</v>
      </c>
      <c r="D341" s="25">
        <f>F341</f>
        <v>2.0483</v>
      </c>
      <c r="E341" s="25">
        <f>F341</f>
        <v>2.0483</v>
      </c>
      <c r="F341" s="25">
        <f>ROUND(2.0483,4)</f>
        <v>2.0483</v>
      </c>
      <c r="G341" s="24"/>
      <c r="H341" s="35"/>
    </row>
    <row r="342" spans="1:8" ht="12.75" customHeight="1">
      <c r="A342" s="22">
        <v>43724</v>
      </c>
      <c r="B342" s="22"/>
      <c r="C342" s="25">
        <f>ROUND(1.98790903437581,4)</f>
        <v>1.9879</v>
      </c>
      <c r="D342" s="25">
        <f>F342</f>
        <v>2.0631</v>
      </c>
      <c r="E342" s="25">
        <f>F342</f>
        <v>2.0631</v>
      </c>
      <c r="F342" s="25">
        <f>ROUND(2.0631,4)</f>
        <v>2.0631</v>
      </c>
      <c r="G342" s="24"/>
      <c r="H342" s="35"/>
    </row>
    <row r="343" spans="1:8" ht="12.75" customHeight="1">
      <c r="A343" s="22">
        <v>43812</v>
      </c>
      <c r="B343" s="22"/>
      <c r="C343" s="25">
        <f>ROUND(1.98790903437581,4)</f>
        <v>1.9879</v>
      </c>
      <c r="D343" s="25">
        <f>F343</f>
        <v>2.0768</v>
      </c>
      <c r="E343" s="25">
        <f>F343</f>
        <v>2.0768</v>
      </c>
      <c r="F343" s="25">
        <f>ROUND(2.0768,4)</f>
        <v>2.0768</v>
      </c>
      <c r="G343" s="24"/>
      <c r="H343" s="35"/>
    </row>
    <row r="344" spans="1:8" ht="12.75" customHeight="1">
      <c r="A344" s="22">
        <v>43906</v>
      </c>
      <c r="B344" s="22"/>
      <c r="C344" s="25">
        <f>ROUND(1.98790903437581,4)</f>
        <v>1.9879</v>
      </c>
      <c r="D344" s="25">
        <f>F344</f>
        <v>2.0914</v>
      </c>
      <c r="E344" s="25">
        <f>F344</f>
        <v>2.0914</v>
      </c>
      <c r="F344" s="25">
        <f>ROUND(2.0914,4)</f>
        <v>2.0914</v>
      </c>
      <c r="G344" s="24"/>
      <c r="H344" s="35"/>
    </row>
    <row r="345" spans="1:8" ht="12.75" customHeight="1">
      <c r="A345" s="22" t="s">
        <v>73</v>
      </c>
      <c r="B345" s="22"/>
      <c r="C345" s="23"/>
      <c r="D345" s="23"/>
      <c r="E345" s="23"/>
      <c r="F345" s="23"/>
      <c r="G345" s="24"/>
      <c r="H345" s="35"/>
    </row>
    <row r="346" spans="1:8" ht="12.75" customHeight="1">
      <c r="A346" s="22">
        <v>43269</v>
      </c>
      <c r="B346" s="22"/>
      <c r="C346" s="25">
        <f>ROUND(1.98939306518286,4)</f>
        <v>1.9894</v>
      </c>
      <c r="D346" s="25">
        <f>F346</f>
        <v>2</v>
      </c>
      <c r="E346" s="25">
        <f>F346</f>
        <v>2</v>
      </c>
      <c r="F346" s="25">
        <f>ROUND(2,4)</f>
        <v>2</v>
      </c>
      <c r="G346" s="24"/>
      <c r="H346" s="35"/>
    </row>
    <row r="347" spans="1:8" ht="12.75" customHeight="1">
      <c r="A347" s="22">
        <v>43360</v>
      </c>
      <c r="B347" s="22"/>
      <c r="C347" s="25">
        <f>ROUND(1.98939306518286,4)</f>
        <v>1.9894</v>
      </c>
      <c r="D347" s="25">
        <f>F347</f>
        <v>2.0383</v>
      </c>
      <c r="E347" s="25">
        <f>F347</f>
        <v>2.0383</v>
      </c>
      <c r="F347" s="25">
        <f>ROUND(2.0383,4)</f>
        <v>2.0383</v>
      </c>
      <c r="G347" s="24"/>
      <c r="H347" s="35"/>
    </row>
    <row r="348" spans="1:8" ht="12.75" customHeight="1">
      <c r="A348" s="22">
        <v>43448</v>
      </c>
      <c r="B348" s="22"/>
      <c r="C348" s="25">
        <f>ROUND(1.98939306518286,4)</f>
        <v>1.9894</v>
      </c>
      <c r="D348" s="25">
        <f>F348</f>
        <v>2.0762</v>
      </c>
      <c r="E348" s="25">
        <f>F348</f>
        <v>2.0762</v>
      </c>
      <c r="F348" s="25">
        <f>ROUND(2.0762,4)</f>
        <v>2.0762</v>
      </c>
      <c r="G348" s="24"/>
      <c r="H348" s="35"/>
    </row>
    <row r="349" spans="1:8" ht="12.75" customHeight="1">
      <c r="A349" s="22">
        <v>43542</v>
      </c>
      <c r="B349" s="22"/>
      <c r="C349" s="25">
        <f>ROUND(1.98939306518286,4)</f>
        <v>1.9894</v>
      </c>
      <c r="D349" s="25">
        <f>F349</f>
        <v>2.119</v>
      </c>
      <c r="E349" s="25">
        <f>F349</f>
        <v>2.119</v>
      </c>
      <c r="F349" s="25">
        <f>ROUND(2.119,4)</f>
        <v>2.119</v>
      </c>
      <c r="G349" s="24"/>
      <c r="H349" s="35"/>
    </row>
    <row r="350" spans="1:8" ht="12.75" customHeight="1">
      <c r="A350" s="22">
        <v>43630</v>
      </c>
      <c r="B350" s="22"/>
      <c r="C350" s="25">
        <f>ROUND(1.98939306518286,4)</f>
        <v>1.9894</v>
      </c>
      <c r="D350" s="25">
        <f>F350</f>
        <v>2.2231</v>
      </c>
      <c r="E350" s="25">
        <f>F350</f>
        <v>2.2231</v>
      </c>
      <c r="F350" s="25">
        <f>ROUND(2.2231,4)</f>
        <v>2.2231</v>
      </c>
      <c r="G350" s="24"/>
      <c r="H350" s="35"/>
    </row>
    <row r="351" spans="1:8" ht="12.75" customHeight="1">
      <c r="A351" s="22">
        <v>43724</v>
      </c>
      <c r="B351" s="22"/>
      <c r="C351" s="25">
        <f>ROUND(1.98939306518286,4)</f>
        <v>1.9894</v>
      </c>
      <c r="D351" s="25">
        <f>F351</f>
        <v>2.2612</v>
      </c>
      <c r="E351" s="25">
        <f>F351</f>
        <v>2.2612</v>
      </c>
      <c r="F351" s="25">
        <f>ROUND(2.2612,4)</f>
        <v>2.2612</v>
      </c>
      <c r="G351" s="24"/>
      <c r="H351" s="35"/>
    </row>
    <row r="352" spans="1:8" ht="12.75" customHeight="1">
      <c r="A352" s="22">
        <v>43812</v>
      </c>
      <c r="B352" s="22"/>
      <c r="C352" s="25">
        <f>ROUND(1.98939306518286,4)</f>
        <v>1.9894</v>
      </c>
      <c r="D352" s="25">
        <f>F352</f>
        <v>2.321</v>
      </c>
      <c r="E352" s="25">
        <f>F352</f>
        <v>2.321</v>
      </c>
      <c r="F352" s="25">
        <f>ROUND(2.321,4)</f>
        <v>2.321</v>
      </c>
      <c r="G352" s="24"/>
      <c r="H352" s="35"/>
    </row>
    <row r="353" spans="1:8" ht="12.75" customHeight="1">
      <c r="A353" s="22">
        <v>43906</v>
      </c>
      <c r="B353" s="22"/>
      <c r="C353" s="25">
        <f>ROUND(1.98939306518286,4)</f>
        <v>1.9894</v>
      </c>
      <c r="D353" s="25">
        <f>F353</f>
        <v>2.3833</v>
      </c>
      <c r="E353" s="25">
        <f>F353</f>
        <v>2.3833</v>
      </c>
      <c r="F353" s="25">
        <f>ROUND(2.3833,4)</f>
        <v>2.3833</v>
      </c>
      <c r="G353" s="24"/>
      <c r="H353" s="35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5"/>
    </row>
    <row r="355" spans="1:8" ht="12.75" customHeight="1">
      <c r="A355" s="22">
        <v>43269</v>
      </c>
      <c r="B355" s="22"/>
      <c r="C355" s="25">
        <f>ROUND(14.8163205,4)</f>
        <v>14.8163</v>
      </c>
      <c r="D355" s="25">
        <f>F355</f>
        <v>14.8906</v>
      </c>
      <c r="E355" s="25">
        <f>F355</f>
        <v>14.8906</v>
      </c>
      <c r="F355" s="25">
        <f>ROUND(14.8906,4)</f>
        <v>14.8906</v>
      </c>
      <c r="G355" s="24"/>
      <c r="H355" s="35"/>
    </row>
    <row r="356" spans="1:8" ht="12.75" customHeight="1">
      <c r="A356" s="22">
        <v>43360</v>
      </c>
      <c r="B356" s="22"/>
      <c r="C356" s="25">
        <f>ROUND(14.8163205,4)</f>
        <v>14.8163</v>
      </c>
      <c r="D356" s="25">
        <f>F356</f>
        <v>15.1756</v>
      </c>
      <c r="E356" s="25">
        <f>F356</f>
        <v>15.1756</v>
      </c>
      <c r="F356" s="25">
        <f>ROUND(15.1756,4)</f>
        <v>15.1756</v>
      </c>
      <c r="G356" s="24"/>
      <c r="H356" s="35"/>
    </row>
    <row r="357" spans="1:8" ht="12.75" customHeight="1">
      <c r="A357" s="22">
        <v>43448</v>
      </c>
      <c r="B357" s="22"/>
      <c r="C357" s="25">
        <f>ROUND(14.8163205,4)</f>
        <v>14.8163</v>
      </c>
      <c r="D357" s="25">
        <f>F357</f>
        <v>15.4532</v>
      </c>
      <c r="E357" s="25">
        <f>F357</f>
        <v>15.4532</v>
      </c>
      <c r="F357" s="25">
        <f>ROUND(15.4532,4)</f>
        <v>15.4532</v>
      </c>
      <c r="G357" s="24"/>
      <c r="H357" s="35"/>
    </row>
    <row r="358" spans="1:8" ht="12.75" customHeight="1">
      <c r="A358" s="22">
        <v>43542</v>
      </c>
      <c r="B358" s="22"/>
      <c r="C358" s="25">
        <f>ROUND(14.8163205,4)</f>
        <v>14.8163</v>
      </c>
      <c r="D358" s="25">
        <f>F358</f>
        <v>15.7649</v>
      </c>
      <c r="E358" s="25">
        <f>F358</f>
        <v>15.7649</v>
      </c>
      <c r="F358" s="25">
        <f>ROUND(15.7649,4)</f>
        <v>15.7649</v>
      </c>
      <c r="G358" s="24"/>
      <c r="H358" s="35"/>
    </row>
    <row r="359" spans="1:8" ht="12.75" customHeight="1">
      <c r="A359" s="22">
        <v>43630</v>
      </c>
      <c r="B359" s="22"/>
      <c r="C359" s="25">
        <f>ROUND(14.8163205,4)</f>
        <v>14.8163</v>
      </c>
      <c r="D359" s="25">
        <f>F359</f>
        <v>16.0407</v>
      </c>
      <c r="E359" s="25">
        <f>F359</f>
        <v>16.0407</v>
      </c>
      <c r="F359" s="25">
        <f>ROUND(16.0407,4)</f>
        <v>16.0407</v>
      </c>
      <c r="G359" s="24"/>
      <c r="H359" s="35"/>
    </row>
    <row r="360" spans="1:8" ht="12.75" customHeight="1">
      <c r="A360" s="22">
        <v>43724</v>
      </c>
      <c r="B360" s="22"/>
      <c r="C360" s="25">
        <f>ROUND(14.8163205,4)</f>
        <v>14.8163</v>
      </c>
      <c r="D360" s="25">
        <f>F360</f>
        <v>16.3123</v>
      </c>
      <c r="E360" s="25">
        <f>F360</f>
        <v>16.3123</v>
      </c>
      <c r="F360" s="25">
        <f>ROUND(16.3123,4)</f>
        <v>16.3123</v>
      </c>
      <c r="G360" s="24"/>
      <c r="H360" s="35"/>
    </row>
    <row r="361" spans="1:8" ht="12.75" customHeight="1">
      <c r="A361" s="22">
        <v>43812</v>
      </c>
      <c r="B361" s="22"/>
      <c r="C361" s="25">
        <f>ROUND(14.8163205,4)</f>
        <v>14.8163</v>
      </c>
      <c r="D361" s="25">
        <f>F361</f>
        <v>16.6736</v>
      </c>
      <c r="E361" s="25">
        <f>F361</f>
        <v>16.6736</v>
      </c>
      <c r="F361" s="25">
        <f>ROUND(16.6736,4)</f>
        <v>16.6736</v>
      </c>
      <c r="G361" s="24"/>
      <c r="H361" s="35"/>
    </row>
    <row r="362" spans="1:8" ht="12.75" customHeight="1">
      <c r="A362" s="22">
        <v>43906</v>
      </c>
      <c r="B362" s="22"/>
      <c r="C362" s="25">
        <f>ROUND(14.8163205,4)</f>
        <v>14.8163</v>
      </c>
      <c r="D362" s="25">
        <f>F362</f>
        <v>17.0639</v>
      </c>
      <c r="E362" s="25">
        <f>F362</f>
        <v>17.0639</v>
      </c>
      <c r="F362" s="25">
        <f>ROUND(17.0639,4)</f>
        <v>17.0639</v>
      </c>
      <c r="G362" s="24"/>
      <c r="H362" s="35"/>
    </row>
    <row r="363" spans="1:8" ht="12.75" customHeight="1">
      <c r="A363" s="22" t="s">
        <v>75</v>
      </c>
      <c r="B363" s="22"/>
      <c r="C363" s="23"/>
      <c r="D363" s="23"/>
      <c r="E363" s="23"/>
      <c r="F363" s="23"/>
      <c r="G363" s="24"/>
      <c r="H363" s="35"/>
    </row>
    <row r="364" spans="1:8" ht="12.75" customHeight="1">
      <c r="A364" s="22">
        <v>43269</v>
      </c>
      <c r="B364" s="22"/>
      <c r="C364" s="25">
        <f>ROUND(12.6724398348605,4)</f>
        <v>12.6724</v>
      </c>
      <c r="D364" s="25">
        <f>F364</f>
        <v>12.7393</v>
      </c>
      <c r="E364" s="25">
        <f>F364</f>
        <v>12.7393</v>
      </c>
      <c r="F364" s="25">
        <f>ROUND(12.7393,4)</f>
        <v>12.7393</v>
      </c>
      <c r="G364" s="24"/>
      <c r="H364" s="35"/>
    </row>
    <row r="365" spans="1:8" ht="12.75" customHeight="1">
      <c r="A365" s="22">
        <v>43360</v>
      </c>
      <c r="B365" s="22"/>
      <c r="C365" s="25">
        <f>ROUND(12.6724398348605,4)</f>
        <v>12.6724</v>
      </c>
      <c r="D365" s="25">
        <f>F365</f>
        <v>12.9956</v>
      </c>
      <c r="E365" s="25">
        <f>F365</f>
        <v>12.9956</v>
      </c>
      <c r="F365" s="25">
        <f>ROUND(12.9956,4)</f>
        <v>12.9956</v>
      </c>
      <c r="G365" s="24"/>
      <c r="H365" s="35"/>
    </row>
    <row r="366" spans="1:8" ht="12.75" customHeight="1">
      <c r="A366" s="22">
        <v>43448</v>
      </c>
      <c r="B366" s="22"/>
      <c r="C366" s="25">
        <f>ROUND(12.6724398348605,4)</f>
        <v>12.6724</v>
      </c>
      <c r="D366" s="25">
        <f>F366</f>
        <v>13.2463</v>
      </c>
      <c r="E366" s="25">
        <f>F366</f>
        <v>13.2463</v>
      </c>
      <c r="F366" s="25">
        <f>ROUND(13.2463,4)</f>
        <v>13.2463</v>
      </c>
      <c r="G366" s="24"/>
      <c r="H366" s="35"/>
    </row>
    <row r="367" spans="1:8" ht="12.75" customHeight="1">
      <c r="A367" s="22">
        <v>43542</v>
      </c>
      <c r="B367" s="22"/>
      <c r="C367" s="25">
        <f>ROUND(12.6724398348605,4)</f>
        <v>12.6724</v>
      </c>
      <c r="D367" s="25">
        <f>F367</f>
        <v>13.5277</v>
      </c>
      <c r="E367" s="25">
        <f>F367</f>
        <v>13.5277</v>
      </c>
      <c r="F367" s="25">
        <f>ROUND(13.5277,4)</f>
        <v>13.5277</v>
      </c>
      <c r="G367" s="24"/>
      <c r="H367" s="35"/>
    </row>
    <row r="368" spans="1:8" ht="12.75" customHeight="1">
      <c r="A368" s="22">
        <v>43630</v>
      </c>
      <c r="B368" s="22"/>
      <c r="C368" s="25">
        <f>ROUND(12.6724398348605,4)</f>
        <v>12.6724</v>
      </c>
      <c r="D368" s="25">
        <f>F368</f>
        <v>13.7731</v>
      </c>
      <c r="E368" s="25">
        <f>F368</f>
        <v>13.7731</v>
      </c>
      <c r="F368" s="25">
        <f>ROUND(13.7731,4)</f>
        <v>13.7731</v>
      </c>
      <c r="G368" s="24"/>
      <c r="H368" s="35"/>
    </row>
    <row r="369" spans="1:8" ht="12.75" customHeight="1">
      <c r="A369" s="22">
        <v>43724</v>
      </c>
      <c r="B369" s="22"/>
      <c r="C369" s="25">
        <f>ROUND(12.6724398348605,4)</f>
        <v>12.6724</v>
      </c>
      <c r="D369" s="25">
        <f>F369</f>
        <v>14.2671</v>
      </c>
      <c r="E369" s="25">
        <f>F369</f>
        <v>14.2671</v>
      </c>
      <c r="F369" s="25">
        <f>ROUND(14.2671,4)</f>
        <v>14.2671</v>
      </c>
      <c r="G369" s="24"/>
      <c r="H369" s="35"/>
    </row>
    <row r="370" spans="1:8" ht="12.75" customHeight="1">
      <c r="A370" s="22">
        <v>43812</v>
      </c>
      <c r="B370" s="22"/>
      <c r="C370" s="25">
        <f>ROUND(12.6724398348605,4)</f>
        <v>12.6724</v>
      </c>
      <c r="D370" s="25">
        <f>F370</f>
        <v>14.4768</v>
      </c>
      <c r="E370" s="25">
        <f>F370</f>
        <v>14.4768</v>
      </c>
      <c r="F370" s="25">
        <f>ROUND(14.4768,4)</f>
        <v>14.4768</v>
      </c>
      <c r="G370" s="24"/>
      <c r="H370" s="35"/>
    </row>
    <row r="371" spans="1:8" ht="12.75" customHeight="1">
      <c r="A371" s="22">
        <v>43906</v>
      </c>
      <c r="B371" s="22"/>
      <c r="C371" s="25">
        <f>ROUND(12.6724398348605,4)</f>
        <v>12.6724</v>
      </c>
      <c r="D371" s="25">
        <f>F371</f>
        <v>14.7465</v>
      </c>
      <c r="E371" s="25">
        <f>F371</f>
        <v>14.7465</v>
      </c>
      <c r="F371" s="25">
        <f>ROUND(14.7465,4)</f>
        <v>14.7465</v>
      </c>
      <c r="G371" s="24"/>
      <c r="H371" s="35"/>
    </row>
    <row r="372" spans="1:8" ht="12.75" customHeight="1">
      <c r="A372" s="22" t="s">
        <v>76</v>
      </c>
      <c r="B372" s="22"/>
      <c r="C372" s="23"/>
      <c r="D372" s="23"/>
      <c r="E372" s="23"/>
      <c r="F372" s="23"/>
      <c r="G372" s="24"/>
      <c r="H372" s="35"/>
    </row>
    <row r="373" spans="1:8" ht="12.75" customHeight="1">
      <c r="A373" s="22">
        <v>43269</v>
      </c>
      <c r="B373" s="22"/>
      <c r="C373" s="25">
        <f>ROUND(16.8901487142857,4)</f>
        <v>16.8901</v>
      </c>
      <c r="D373" s="25">
        <f>F373</f>
        <v>16.9635</v>
      </c>
      <c r="E373" s="25">
        <f>F373</f>
        <v>16.9635</v>
      </c>
      <c r="F373" s="25">
        <f>ROUND(16.9635,4)</f>
        <v>16.9635</v>
      </c>
      <c r="G373" s="24"/>
      <c r="H373" s="35"/>
    </row>
    <row r="374" spans="1:8" ht="12.75" customHeight="1">
      <c r="A374" s="22">
        <v>43360</v>
      </c>
      <c r="B374" s="22"/>
      <c r="C374" s="25">
        <f>ROUND(16.8901487142857,4)</f>
        <v>16.8901</v>
      </c>
      <c r="D374" s="25">
        <f>F374</f>
        <v>17.2413</v>
      </c>
      <c r="E374" s="25">
        <f>F374</f>
        <v>17.2413</v>
      </c>
      <c r="F374" s="25">
        <f>ROUND(17.2413,4)</f>
        <v>17.2413</v>
      </c>
      <c r="G374" s="24"/>
      <c r="H374" s="35"/>
    </row>
    <row r="375" spans="1:8" ht="12.75" customHeight="1">
      <c r="A375" s="22">
        <v>43448</v>
      </c>
      <c r="B375" s="22"/>
      <c r="C375" s="25">
        <f>ROUND(16.8901487142857,4)</f>
        <v>16.8901</v>
      </c>
      <c r="D375" s="25">
        <f>F375</f>
        <v>17.5051</v>
      </c>
      <c r="E375" s="25">
        <f>F375</f>
        <v>17.5051</v>
      </c>
      <c r="F375" s="25">
        <f>ROUND(17.5051,4)</f>
        <v>17.5051</v>
      </c>
      <c r="G375" s="24"/>
      <c r="H375" s="35"/>
    </row>
    <row r="376" spans="1:8" ht="12.75" customHeight="1">
      <c r="A376" s="22">
        <v>43542</v>
      </c>
      <c r="B376" s="22"/>
      <c r="C376" s="25">
        <f>ROUND(16.8901487142857,4)</f>
        <v>16.8901</v>
      </c>
      <c r="D376" s="25">
        <f>F376</f>
        <v>17.7946</v>
      </c>
      <c r="E376" s="25">
        <f>F376</f>
        <v>17.7946</v>
      </c>
      <c r="F376" s="25">
        <f>ROUND(17.7946,4)</f>
        <v>17.7946</v>
      </c>
      <c r="G376" s="24"/>
      <c r="H376" s="35"/>
    </row>
    <row r="377" spans="1:8" ht="12.75" customHeight="1">
      <c r="A377" s="22">
        <v>43630</v>
      </c>
      <c r="B377" s="22"/>
      <c r="C377" s="25">
        <f>ROUND(16.8901487142857,4)</f>
        <v>16.8901</v>
      </c>
      <c r="D377" s="25">
        <f>F377</f>
        <v>18.0623</v>
      </c>
      <c r="E377" s="25">
        <f>F377</f>
        <v>18.0623</v>
      </c>
      <c r="F377" s="25">
        <f>ROUND(18.0623,4)</f>
        <v>18.0623</v>
      </c>
      <c r="G377" s="24"/>
      <c r="H377" s="35"/>
    </row>
    <row r="378" spans="1:8" ht="12.75" customHeight="1">
      <c r="A378" s="22">
        <v>43724</v>
      </c>
      <c r="B378" s="22"/>
      <c r="C378" s="25">
        <f>ROUND(16.8901487142857,4)</f>
        <v>16.8901</v>
      </c>
      <c r="D378" s="25">
        <f>F378</f>
        <v>18.344</v>
      </c>
      <c r="E378" s="25">
        <f>F378</f>
        <v>18.344</v>
      </c>
      <c r="F378" s="25">
        <f>ROUND(18.344,4)</f>
        <v>18.344</v>
      </c>
      <c r="G378" s="24"/>
      <c r="H378" s="35"/>
    </row>
    <row r="379" spans="1:8" ht="12.75" customHeight="1">
      <c r="A379" s="22">
        <v>43812</v>
      </c>
      <c r="B379" s="22"/>
      <c r="C379" s="25">
        <f>ROUND(16.8901487142857,4)</f>
        <v>16.8901</v>
      </c>
      <c r="D379" s="25">
        <f>F379</f>
        <v>18.4282</v>
      </c>
      <c r="E379" s="25">
        <f>F379</f>
        <v>18.4282</v>
      </c>
      <c r="F379" s="25">
        <f>ROUND(18.4282,4)</f>
        <v>18.4282</v>
      </c>
      <c r="G379" s="24"/>
      <c r="H379" s="35"/>
    </row>
    <row r="380" spans="1:8" ht="12.75" customHeight="1">
      <c r="A380" s="22">
        <v>43906</v>
      </c>
      <c r="B380" s="22"/>
      <c r="C380" s="25">
        <f>ROUND(16.8901487142857,4)</f>
        <v>16.8901</v>
      </c>
      <c r="D380" s="25">
        <f>F380</f>
        <v>18.8919</v>
      </c>
      <c r="E380" s="25">
        <f>F380</f>
        <v>18.8919</v>
      </c>
      <c r="F380" s="25">
        <f>ROUND(18.8919,4)</f>
        <v>18.8919</v>
      </c>
      <c r="G380" s="24"/>
      <c r="H380" s="35"/>
    </row>
    <row r="381" spans="1:8" ht="12.75" customHeight="1">
      <c r="A381" s="22" t="s">
        <v>77</v>
      </c>
      <c r="B381" s="22"/>
      <c r="C381" s="23"/>
      <c r="D381" s="23"/>
      <c r="E381" s="23"/>
      <c r="F381" s="23"/>
      <c r="G381" s="24"/>
      <c r="H381" s="35"/>
    </row>
    <row r="382" spans="1:8" ht="12.75" customHeight="1">
      <c r="A382" s="22">
        <v>43269</v>
      </c>
      <c r="B382" s="22"/>
      <c r="C382" s="25">
        <f>ROUND(1.60325619613613,4)</f>
        <v>1.6033</v>
      </c>
      <c r="D382" s="25">
        <f>F382</f>
        <v>1.6099</v>
      </c>
      <c r="E382" s="25">
        <f>F382</f>
        <v>1.6099</v>
      </c>
      <c r="F382" s="25">
        <f>ROUND(1.6099,4)</f>
        <v>1.6099</v>
      </c>
      <c r="G382" s="24"/>
      <c r="H382" s="35"/>
    </row>
    <row r="383" spans="1:8" ht="12.75" customHeight="1">
      <c r="A383" s="22">
        <v>43360</v>
      </c>
      <c r="B383" s="22"/>
      <c r="C383" s="25">
        <f>ROUND(1.60325619613613,4)</f>
        <v>1.6033</v>
      </c>
      <c r="D383" s="25">
        <f>F383</f>
        <v>1.6313</v>
      </c>
      <c r="E383" s="25">
        <f>F383</f>
        <v>1.6313</v>
      </c>
      <c r="F383" s="25">
        <f>ROUND(1.6313,4)</f>
        <v>1.6313</v>
      </c>
      <c r="G383" s="24"/>
      <c r="H383" s="35"/>
    </row>
    <row r="384" spans="1:8" ht="12.75" customHeight="1">
      <c r="A384" s="22">
        <v>43448</v>
      </c>
      <c r="B384" s="22"/>
      <c r="C384" s="25">
        <f>ROUND(1.60325619613613,4)</f>
        <v>1.6033</v>
      </c>
      <c r="D384" s="25">
        <f>F384</f>
        <v>1.651</v>
      </c>
      <c r="E384" s="25">
        <f>F384</f>
        <v>1.651</v>
      </c>
      <c r="F384" s="25">
        <f>ROUND(1.651,4)</f>
        <v>1.651</v>
      </c>
      <c r="G384" s="24"/>
      <c r="H384" s="35"/>
    </row>
    <row r="385" spans="1:8" ht="12.75" customHeight="1">
      <c r="A385" s="22">
        <v>43542</v>
      </c>
      <c r="B385" s="22"/>
      <c r="C385" s="25">
        <f>ROUND(1.60325619613613,4)</f>
        <v>1.6033</v>
      </c>
      <c r="D385" s="25">
        <f>F385</f>
        <v>1.6716</v>
      </c>
      <c r="E385" s="25">
        <f>F385</f>
        <v>1.6716</v>
      </c>
      <c r="F385" s="25">
        <f>ROUND(1.6716,4)</f>
        <v>1.6716</v>
      </c>
      <c r="G385" s="24"/>
      <c r="H385" s="35"/>
    </row>
    <row r="386" spans="1:8" ht="12.75" customHeight="1">
      <c r="A386" s="22">
        <v>43630</v>
      </c>
      <c r="B386" s="22"/>
      <c r="C386" s="25">
        <f>ROUND(1.60325619613613,4)</f>
        <v>1.6033</v>
      </c>
      <c r="D386" s="25">
        <f>F386</f>
        <v>1.7427</v>
      </c>
      <c r="E386" s="25">
        <f>F386</f>
        <v>1.7427</v>
      </c>
      <c r="F386" s="25">
        <f>ROUND(1.7427,4)</f>
        <v>1.7427</v>
      </c>
      <c r="G386" s="24"/>
      <c r="H386" s="35"/>
    </row>
    <row r="387" spans="1:8" ht="12.75" customHeight="1">
      <c r="A387" s="22">
        <v>43724</v>
      </c>
      <c r="B387" s="22"/>
      <c r="C387" s="25">
        <f>ROUND(1.60325619613613,4)</f>
        <v>1.6033</v>
      </c>
      <c r="D387" s="25">
        <f>F387</f>
        <v>1.7618</v>
      </c>
      <c r="E387" s="25">
        <f>F387</f>
        <v>1.7618</v>
      </c>
      <c r="F387" s="25">
        <f>ROUND(1.7618,4)</f>
        <v>1.7618</v>
      </c>
      <c r="G387" s="24"/>
      <c r="H387" s="35"/>
    </row>
    <row r="388" spans="1:8" ht="12.75" customHeight="1">
      <c r="A388" s="22">
        <v>43812</v>
      </c>
      <c r="B388" s="22"/>
      <c r="C388" s="25">
        <f>ROUND(1.60325619613613,4)</f>
        <v>1.6033</v>
      </c>
      <c r="D388" s="25">
        <f>F388</f>
        <v>1.7873</v>
      </c>
      <c r="E388" s="25">
        <f>F388</f>
        <v>1.7873</v>
      </c>
      <c r="F388" s="25">
        <f>ROUND(1.7873,4)</f>
        <v>1.7873</v>
      </c>
      <c r="G388" s="24"/>
      <c r="H388" s="35"/>
    </row>
    <row r="389" spans="1:8" ht="12.75" customHeight="1">
      <c r="A389" s="22">
        <v>43906</v>
      </c>
      <c r="B389" s="22"/>
      <c r="C389" s="25">
        <f>ROUND(1.60325619613613,4)</f>
        <v>1.6033</v>
      </c>
      <c r="D389" s="25">
        <f>F389</f>
        <v>1.8122</v>
      </c>
      <c r="E389" s="25">
        <f>F389</f>
        <v>1.8122</v>
      </c>
      <c r="F389" s="25">
        <f>ROUND(1.8122,4)</f>
        <v>1.8122</v>
      </c>
      <c r="G389" s="24"/>
      <c r="H389" s="35"/>
    </row>
    <row r="390" spans="1:8" ht="12.75" customHeight="1">
      <c r="A390" s="22" t="s">
        <v>78</v>
      </c>
      <c r="B390" s="22"/>
      <c r="C390" s="23"/>
      <c r="D390" s="23"/>
      <c r="E390" s="23"/>
      <c r="F390" s="23"/>
      <c r="G390" s="24"/>
      <c r="H390" s="35"/>
    </row>
    <row r="391" spans="1:8" ht="12.75" customHeight="1">
      <c r="A391" s="22">
        <v>43269</v>
      </c>
      <c r="B391" s="22"/>
      <c r="C391" s="28">
        <f>ROUND(0.113370718194717,6)</f>
        <v>0.113371</v>
      </c>
      <c r="D391" s="28">
        <f>F391</f>
        <v>0.113921</v>
      </c>
      <c r="E391" s="28">
        <f>F391</f>
        <v>0.113921</v>
      </c>
      <c r="F391" s="28">
        <f>ROUND(0.113921,6)</f>
        <v>0.113921</v>
      </c>
      <c r="G391" s="24"/>
      <c r="H391" s="35"/>
    </row>
    <row r="392" spans="1:8" ht="12.75" customHeight="1">
      <c r="A392" s="22">
        <v>43360</v>
      </c>
      <c r="B392" s="22"/>
      <c r="C392" s="28">
        <f>ROUND(0.113370718194717,6)</f>
        <v>0.113371</v>
      </c>
      <c r="D392" s="28">
        <f>F392</f>
        <v>0.116027</v>
      </c>
      <c r="E392" s="28">
        <f>F392</f>
        <v>0.116027</v>
      </c>
      <c r="F392" s="28">
        <f>ROUND(0.116027,6)</f>
        <v>0.116027</v>
      </c>
      <c r="G392" s="24"/>
      <c r="H392" s="35"/>
    </row>
    <row r="393" spans="1:8" ht="12.75" customHeight="1">
      <c r="A393" s="22">
        <v>43448</v>
      </c>
      <c r="B393" s="22"/>
      <c r="C393" s="28">
        <f>ROUND(0.113370718194717,6)</f>
        <v>0.113371</v>
      </c>
      <c r="D393" s="28">
        <f>F393</f>
        <v>0.118104</v>
      </c>
      <c r="E393" s="28">
        <f>F393</f>
        <v>0.118104</v>
      </c>
      <c r="F393" s="28">
        <f>ROUND(0.118104,6)</f>
        <v>0.118104</v>
      </c>
      <c r="G393" s="24"/>
      <c r="H393" s="35"/>
    </row>
    <row r="394" spans="1:8" ht="12.75" customHeight="1">
      <c r="A394" s="22">
        <v>43542</v>
      </c>
      <c r="B394" s="22"/>
      <c r="C394" s="28">
        <f>ROUND(0.113370718194717,6)</f>
        <v>0.113371</v>
      </c>
      <c r="D394" s="28">
        <f>F394</f>
        <v>0.120441</v>
      </c>
      <c r="E394" s="28">
        <f>F394</f>
        <v>0.120441</v>
      </c>
      <c r="F394" s="28">
        <f>ROUND(0.120441,6)</f>
        <v>0.120441</v>
      </c>
      <c r="G394" s="24"/>
      <c r="H394" s="35"/>
    </row>
    <row r="395" spans="1:8" ht="12.75" customHeight="1">
      <c r="A395" s="22">
        <v>43630</v>
      </c>
      <c r="B395" s="22"/>
      <c r="C395" s="28">
        <f>ROUND(0.113370718194717,6)</f>
        <v>0.113371</v>
      </c>
      <c r="D395" s="28">
        <f>F395</f>
        <v>0.122641</v>
      </c>
      <c r="E395" s="28">
        <f>F395</f>
        <v>0.122641</v>
      </c>
      <c r="F395" s="28">
        <f>ROUND(0.122641,6)</f>
        <v>0.122641</v>
      </c>
      <c r="G395" s="24"/>
      <c r="H395" s="35"/>
    </row>
    <row r="396" spans="1:8" ht="12.75" customHeight="1">
      <c r="A396" s="22">
        <v>43724</v>
      </c>
      <c r="B396" s="22"/>
      <c r="C396" s="28">
        <f>ROUND(0.113370718194717,6)</f>
        <v>0.113371</v>
      </c>
      <c r="D396" s="28">
        <f>F396</f>
        <v>0.127527</v>
      </c>
      <c r="E396" s="28">
        <f>F396</f>
        <v>0.127527</v>
      </c>
      <c r="F396" s="28">
        <f>ROUND(0.127527,6)</f>
        <v>0.127527</v>
      </c>
      <c r="G396" s="24"/>
      <c r="H396" s="35"/>
    </row>
    <row r="397" spans="1:8" ht="12.75" customHeight="1">
      <c r="A397" s="22">
        <v>43812</v>
      </c>
      <c r="B397" s="22"/>
      <c r="C397" s="28">
        <f>ROUND(0.113370718194717,6)</f>
        <v>0.113371</v>
      </c>
      <c r="D397" s="28">
        <f>F397</f>
        <v>0.129677</v>
      </c>
      <c r="E397" s="28">
        <f>F397</f>
        <v>0.129677</v>
      </c>
      <c r="F397" s="28">
        <f>ROUND(0.129677,6)</f>
        <v>0.129677</v>
      </c>
      <c r="G397" s="24"/>
      <c r="H397" s="35"/>
    </row>
    <row r="398" spans="1:8" ht="12.75" customHeight="1">
      <c r="A398" s="22">
        <v>43906</v>
      </c>
      <c r="B398" s="22"/>
      <c r="C398" s="28">
        <f>ROUND(0.113370718194717,6)</f>
        <v>0.113371</v>
      </c>
      <c r="D398" s="28">
        <f>F398</f>
        <v>0.131491</v>
      </c>
      <c r="E398" s="28">
        <f>F398</f>
        <v>0.131491</v>
      </c>
      <c r="F398" s="28">
        <f>ROUND(0.131491,6)</f>
        <v>0.131491</v>
      </c>
      <c r="G398" s="24"/>
      <c r="H398" s="35"/>
    </row>
    <row r="399" spans="1:8" ht="12.75" customHeight="1">
      <c r="A399" s="22" t="s">
        <v>79</v>
      </c>
      <c r="B399" s="22"/>
      <c r="C399" s="23"/>
      <c r="D399" s="23"/>
      <c r="E399" s="23"/>
      <c r="F399" s="23"/>
      <c r="G399" s="24"/>
      <c r="H399" s="35"/>
    </row>
    <row r="400" spans="1:8" ht="12.75" customHeight="1">
      <c r="A400" s="22">
        <v>43269</v>
      </c>
      <c r="B400" s="22"/>
      <c r="C400" s="25">
        <f>ROUND(0.125037257824143,4)</f>
        <v>0.125</v>
      </c>
      <c r="D400" s="25">
        <f>F400</f>
        <v>0.1249</v>
      </c>
      <c r="E400" s="25">
        <f>F400</f>
        <v>0.1249</v>
      </c>
      <c r="F400" s="25">
        <f>ROUND(0.1249,4)</f>
        <v>0.1249</v>
      </c>
      <c r="G400" s="24"/>
      <c r="H400" s="35"/>
    </row>
    <row r="401" spans="1:8" ht="12.75" customHeight="1">
      <c r="A401" s="22">
        <v>43360</v>
      </c>
      <c r="B401" s="22"/>
      <c r="C401" s="25">
        <f>ROUND(0.125037257824143,4)</f>
        <v>0.125</v>
      </c>
      <c r="D401" s="25">
        <f>F401</f>
        <v>0.1242</v>
      </c>
      <c r="E401" s="25">
        <f>F401</f>
        <v>0.1242</v>
      </c>
      <c r="F401" s="25">
        <f>ROUND(0.1242,4)</f>
        <v>0.1242</v>
      </c>
      <c r="G401" s="24"/>
      <c r="H401" s="35"/>
    </row>
    <row r="402" spans="1:8" ht="12.75" customHeight="1">
      <c r="A402" s="22">
        <v>43448</v>
      </c>
      <c r="B402" s="22"/>
      <c r="C402" s="25">
        <f>ROUND(0.125037257824143,4)</f>
        <v>0.125</v>
      </c>
      <c r="D402" s="25">
        <f>F402</f>
        <v>0.1234</v>
      </c>
      <c r="E402" s="25">
        <f>F402</f>
        <v>0.1234</v>
      </c>
      <c r="F402" s="25">
        <f>ROUND(0.1234,4)</f>
        <v>0.1234</v>
      </c>
      <c r="G402" s="24"/>
      <c r="H402" s="35"/>
    </row>
    <row r="403" spans="1:8" ht="12.75" customHeight="1">
      <c r="A403" s="22">
        <v>43542</v>
      </c>
      <c r="B403" s="22"/>
      <c r="C403" s="25">
        <f>ROUND(0.125037257824143,4)</f>
        <v>0.125</v>
      </c>
      <c r="D403" s="25">
        <f>F403</f>
        <v>0.1225</v>
      </c>
      <c r="E403" s="25">
        <f>F403</f>
        <v>0.1225</v>
      </c>
      <c r="F403" s="25">
        <f>ROUND(0.1225,4)</f>
        <v>0.1225</v>
      </c>
      <c r="G403" s="24"/>
      <c r="H403" s="35"/>
    </row>
    <row r="404" spans="1:8" ht="12.75" customHeight="1">
      <c r="A404" s="22">
        <v>43630</v>
      </c>
      <c r="B404" s="22"/>
      <c r="C404" s="25">
        <f>ROUND(0.125037257824143,4)</f>
        <v>0.125</v>
      </c>
      <c r="D404" s="25">
        <f>F404</f>
        <v>0.121</v>
      </c>
      <c r="E404" s="25">
        <f>F404</f>
        <v>0.121</v>
      </c>
      <c r="F404" s="25">
        <f>ROUND(0.121,4)</f>
        <v>0.121</v>
      </c>
      <c r="G404" s="24"/>
      <c r="H404" s="35"/>
    </row>
    <row r="405" spans="1:8" ht="12.75" customHeight="1">
      <c r="A405" s="22">
        <v>43724</v>
      </c>
      <c r="B405" s="22"/>
      <c r="C405" s="25">
        <f>ROUND(0.125037257824143,4)</f>
        <v>0.125</v>
      </c>
      <c r="D405" s="25">
        <f>F405</f>
        <v>0.1194</v>
      </c>
      <c r="E405" s="25">
        <f>F405</f>
        <v>0.1194</v>
      </c>
      <c r="F405" s="25">
        <f>ROUND(0.1194,4)</f>
        <v>0.1194</v>
      </c>
      <c r="G405" s="24"/>
      <c r="H405" s="35"/>
    </row>
    <row r="406" spans="1:8" ht="12.75" customHeight="1">
      <c r="A406" s="22" t="s">
        <v>80</v>
      </c>
      <c r="B406" s="22"/>
      <c r="C406" s="23"/>
      <c r="D406" s="23"/>
      <c r="E406" s="23"/>
      <c r="F406" s="23"/>
      <c r="G406" s="24"/>
      <c r="H406" s="35"/>
    </row>
    <row r="407" spans="1:8" ht="12.75" customHeight="1">
      <c r="A407" s="22">
        <v>43269</v>
      </c>
      <c r="B407" s="22"/>
      <c r="C407" s="25">
        <f>ROUND(1.56158876301324,4)</f>
        <v>1.5616</v>
      </c>
      <c r="D407" s="25">
        <f>F407</f>
        <v>1.5681</v>
      </c>
      <c r="E407" s="25">
        <f>F407</f>
        <v>1.5681</v>
      </c>
      <c r="F407" s="25">
        <f>ROUND(1.5681,4)</f>
        <v>1.5681</v>
      </c>
      <c r="G407" s="24"/>
      <c r="H407" s="35"/>
    </row>
    <row r="408" spans="1:8" ht="12.75" customHeight="1">
      <c r="A408" s="22">
        <v>43360</v>
      </c>
      <c r="B408" s="22"/>
      <c r="C408" s="25">
        <f>ROUND(1.56158876301324,4)</f>
        <v>1.5616</v>
      </c>
      <c r="D408" s="25">
        <f>F408</f>
        <v>1.5924</v>
      </c>
      <c r="E408" s="25">
        <f>F408</f>
        <v>1.5924</v>
      </c>
      <c r="F408" s="25">
        <f>ROUND(1.5924,4)</f>
        <v>1.5924</v>
      </c>
      <c r="G408" s="24"/>
      <c r="H408" s="35"/>
    </row>
    <row r="409" spans="1:8" ht="12.75" customHeight="1">
      <c r="A409" s="22">
        <v>43448</v>
      </c>
      <c r="B409" s="22"/>
      <c r="C409" s="25">
        <f>ROUND(1.56158876301324,4)</f>
        <v>1.5616</v>
      </c>
      <c r="D409" s="25">
        <f>F409</f>
        <v>1.6159</v>
      </c>
      <c r="E409" s="25">
        <f>F409</f>
        <v>1.6159</v>
      </c>
      <c r="F409" s="25">
        <f>ROUND(1.6159,4)</f>
        <v>1.6159</v>
      </c>
      <c r="G409" s="24"/>
      <c r="H409" s="35"/>
    </row>
    <row r="410" spans="1:8" ht="12.75" customHeight="1">
      <c r="A410" s="22">
        <v>43542</v>
      </c>
      <c r="B410" s="22"/>
      <c r="C410" s="25">
        <f>ROUND(1.56158876301324,4)</f>
        <v>1.5616</v>
      </c>
      <c r="D410" s="25">
        <f>F410</f>
        <v>1.641</v>
      </c>
      <c r="E410" s="25">
        <f>F410</f>
        <v>1.641</v>
      </c>
      <c r="F410" s="25">
        <f>ROUND(1.641,4)</f>
        <v>1.641</v>
      </c>
      <c r="G410" s="24"/>
      <c r="H410" s="35"/>
    </row>
    <row r="411" spans="1:8" ht="12.75" customHeight="1">
      <c r="A411" s="22">
        <v>43630</v>
      </c>
      <c r="B411" s="22"/>
      <c r="C411" s="25">
        <f>ROUND(1.56158876301324,4)</f>
        <v>1.5616</v>
      </c>
      <c r="D411" s="25">
        <f>F411</f>
        <v>1.6635</v>
      </c>
      <c r="E411" s="25">
        <f>F411</f>
        <v>1.6635</v>
      </c>
      <c r="F411" s="25">
        <f>ROUND(1.6635,4)</f>
        <v>1.6635</v>
      </c>
      <c r="G411" s="24"/>
      <c r="H411" s="35"/>
    </row>
    <row r="412" spans="1:8" ht="12.75" customHeight="1">
      <c r="A412" s="22">
        <v>43724</v>
      </c>
      <c r="B412" s="22"/>
      <c r="C412" s="25">
        <f>ROUND(1.56158876301324,4)</f>
        <v>1.5616</v>
      </c>
      <c r="D412" s="25">
        <f>F412</f>
        <v>1.6862</v>
      </c>
      <c r="E412" s="25">
        <f>F412</f>
        <v>1.6862</v>
      </c>
      <c r="F412" s="25">
        <f>ROUND(1.6862,4)</f>
        <v>1.6862</v>
      </c>
      <c r="G412" s="24"/>
      <c r="H412" s="35"/>
    </row>
    <row r="413" spans="1:8" ht="12.75" customHeight="1">
      <c r="A413" s="22">
        <v>43812</v>
      </c>
      <c r="B413" s="22"/>
      <c r="C413" s="25">
        <f>ROUND(1.56158876301324,4)</f>
        <v>1.5616</v>
      </c>
      <c r="D413" s="25">
        <f>F413</f>
        <v>1.7123</v>
      </c>
      <c r="E413" s="25">
        <f>F413</f>
        <v>1.7123</v>
      </c>
      <c r="F413" s="25">
        <f>ROUND(1.7123,4)</f>
        <v>1.7123</v>
      </c>
      <c r="G413" s="24"/>
      <c r="H413" s="35"/>
    </row>
    <row r="414" spans="1:8" ht="12.75" customHeight="1">
      <c r="A414" s="22">
        <v>43906</v>
      </c>
      <c r="B414" s="22"/>
      <c r="C414" s="25">
        <f>ROUND(1.56158876301324,4)</f>
        <v>1.5616</v>
      </c>
      <c r="D414" s="25">
        <f>F414</f>
        <v>1.7404</v>
      </c>
      <c r="E414" s="25">
        <f>F414</f>
        <v>1.7404</v>
      </c>
      <c r="F414" s="25">
        <f>ROUND(1.7404,4)</f>
        <v>1.7404</v>
      </c>
      <c r="G414" s="24"/>
      <c r="H414" s="35"/>
    </row>
    <row r="415" spans="1:8" ht="12.75" customHeight="1">
      <c r="A415" s="22" t="s">
        <v>81</v>
      </c>
      <c r="B415" s="22"/>
      <c r="C415" s="23"/>
      <c r="D415" s="23"/>
      <c r="E415" s="23"/>
      <c r="F415" s="23"/>
      <c r="G415" s="24"/>
      <c r="H415" s="35"/>
    </row>
    <row r="416" spans="1:8" ht="12.75" customHeight="1">
      <c r="A416" s="22">
        <v>43269</v>
      </c>
      <c r="B416" s="22"/>
      <c r="C416" s="25">
        <f>ROUND(8.7251805,4)</f>
        <v>8.7252</v>
      </c>
      <c r="D416" s="25">
        <f>F416</f>
        <v>8.7536</v>
      </c>
      <c r="E416" s="25">
        <f>F416</f>
        <v>8.7536</v>
      </c>
      <c r="F416" s="25">
        <f>ROUND(8.7536,4)</f>
        <v>8.7536</v>
      </c>
      <c r="G416" s="24"/>
      <c r="H416" s="35"/>
    </row>
    <row r="417" spans="1:8" ht="12.75" customHeight="1">
      <c r="A417" s="22">
        <v>43360</v>
      </c>
      <c r="B417" s="22"/>
      <c r="C417" s="25">
        <f>ROUND(8.7251805,4)</f>
        <v>8.7252</v>
      </c>
      <c r="D417" s="25">
        <f>F417</f>
        <v>8.8594</v>
      </c>
      <c r="E417" s="25">
        <f>F417</f>
        <v>8.8594</v>
      </c>
      <c r="F417" s="25">
        <f>ROUND(8.8594,4)</f>
        <v>8.8594</v>
      </c>
      <c r="G417" s="24"/>
      <c r="H417" s="35"/>
    </row>
    <row r="418" spans="1:8" ht="12.75" customHeight="1">
      <c r="A418" s="22">
        <v>43448</v>
      </c>
      <c r="B418" s="22"/>
      <c r="C418" s="25">
        <f>ROUND(8.7251805,4)</f>
        <v>8.7252</v>
      </c>
      <c r="D418" s="25">
        <f>F418</f>
        <v>8.9619</v>
      </c>
      <c r="E418" s="25">
        <f>F418</f>
        <v>8.9619</v>
      </c>
      <c r="F418" s="25">
        <f>ROUND(8.9619,4)</f>
        <v>8.9619</v>
      </c>
      <c r="G418" s="24"/>
      <c r="H418" s="35"/>
    </row>
    <row r="419" spans="1:8" ht="12.75" customHeight="1">
      <c r="A419" s="22">
        <v>43542</v>
      </c>
      <c r="B419" s="22"/>
      <c r="C419" s="25">
        <f>ROUND(8.7251805,4)</f>
        <v>8.7252</v>
      </c>
      <c r="D419" s="25">
        <f>F419</f>
        <v>9.074</v>
      </c>
      <c r="E419" s="25">
        <f>F419</f>
        <v>9.074</v>
      </c>
      <c r="F419" s="25">
        <f>ROUND(9.074,4)</f>
        <v>9.074</v>
      </c>
      <c r="G419" s="24"/>
      <c r="H419" s="35"/>
    </row>
    <row r="420" spans="1:8" ht="12.75" customHeight="1">
      <c r="A420" s="22">
        <v>43630</v>
      </c>
      <c r="B420" s="22"/>
      <c r="C420" s="25">
        <f>ROUND(8.7251805,4)</f>
        <v>8.7252</v>
      </c>
      <c r="D420" s="25">
        <f>F420</f>
        <v>9.4648</v>
      </c>
      <c r="E420" s="25">
        <f>F420</f>
        <v>9.4648</v>
      </c>
      <c r="F420" s="25">
        <f>ROUND(9.4648,4)</f>
        <v>9.4648</v>
      </c>
      <c r="G420" s="24"/>
      <c r="H420" s="35"/>
    </row>
    <row r="421" spans="1:8" ht="12.75" customHeight="1">
      <c r="A421" s="22">
        <v>43724</v>
      </c>
      <c r="B421" s="22"/>
      <c r="C421" s="25">
        <f>ROUND(8.7251805,4)</f>
        <v>8.7252</v>
      </c>
      <c r="D421" s="25">
        <f>F421</f>
        <v>9.575</v>
      </c>
      <c r="E421" s="25">
        <f>F421</f>
        <v>9.575</v>
      </c>
      <c r="F421" s="25">
        <f>ROUND(9.575,4)</f>
        <v>9.575</v>
      </c>
      <c r="G421" s="24"/>
      <c r="H421" s="35"/>
    </row>
    <row r="422" spans="1:8" ht="12.75" customHeight="1">
      <c r="A422" s="22">
        <v>43812</v>
      </c>
      <c r="B422" s="22"/>
      <c r="C422" s="25">
        <f>ROUND(8.7251805,4)</f>
        <v>8.7252</v>
      </c>
      <c r="D422" s="25">
        <f>F422</f>
        <v>9.7202</v>
      </c>
      <c r="E422" s="25">
        <f>F422</f>
        <v>9.7202</v>
      </c>
      <c r="F422" s="25">
        <f>ROUND(9.7202,4)</f>
        <v>9.7202</v>
      </c>
      <c r="G422" s="24"/>
      <c r="H422" s="35"/>
    </row>
    <row r="423" spans="1:8" ht="12.75" customHeight="1">
      <c r="A423" s="22">
        <v>43906</v>
      </c>
      <c r="B423" s="22"/>
      <c r="C423" s="25">
        <f>ROUND(8.7251805,4)</f>
        <v>8.7252</v>
      </c>
      <c r="D423" s="25">
        <f>F423</f>
        <v>9.8623</v>
      </c>
      <c r="E423" s="25">
        <f>F423</f>
        <v>9.8623</v>
      </c>
      <c r="F423" s="25">
        <f>ROUND(9.8623,4)</f>
        <v>9.8623</v>
      </c>
      <c r="G423" s="24"/>
      <c r="H423" s="35"/>
    </row>
    <row r="424" spans="1:8" ht="12.75" customHeight="1">
      <c r="A424" s="22" t="s">
        <v>82</v>
      </c>
      <c r="B424" s="22"/>
      <c r="C424" s="23"/>
      <c r="D424" s="23"/>
      <c r="E424" s="23"/>
      <c r="F424" s="23"/>
      <c r="G424" s="24"/>
      <c r="H424" s="35"/>
    </row>
    <row r="425" spans="1:8" ht="12.75" customHeight="1">
      <c r="A425" s="22">
        <v>43269</v>
      </c>
      <c r="B425" s="22"/>
      <c r="C425" s="25">
        <f>ROUND(9.3959982081529,4)</f>
        <v>9.396</v>
      </c>
      <c r="D425" s="25">
        <f>F425</f>
        <v>9.4306</v>
      </c>
      <c r="E425" s="25">
        <f>F425</f>
        <v>9.4306</v>
      </c>
      <c r="F425" s="25">
        <f>ROUND(9.4306,4)</f>
        <v>9.4306</v>
      </c>
      <c r="G425" s="24"/>
      <c r="H425" s="35"/>
    </row>
    <row r="426" spans="1:8" ht="12.75" customHeight="1">
      <c r="A426" s="22">
        <v>43360</v>
      </c>
      <c r="B426" s="22"/>
      <c r="C426" s="25">
        <f>ROUND(9.3959982081529,4)</f>
        <v>9.396</v>
      </c>
      <c r="D426" s="25">
        <f>F426</f>
        <v>9.5622</v>
      </c>
      <c r="E426" s="25">
        <f>F426</f>
        <v>9.5622</v>
      </c>
      <c r="F426" s="25">
        <f>ROUND(9.5622,4)</f>
        <v>9.5622</v>
      </c>
      <c r="G426" s="24"/>
      <c r="H426" s="35"/>
    </row>
    <row r="427" spans="1:8" ht="12.75" customHeight="1">
      <c r="A427" s="22">
        <v>43448</v>
      </c>
      <c r="B427" s="22"/>
      <c r="C427" s="25">
        <f>ROUND(9.3959982081529,4)</f>
        <v>9.396</v>
      </c>
      <c r="D427" s="25">
        <f>F427</f>
        <v>9.6871</v>
      </c>
      <c r="E427" s="25">
        <f>F427</f>
        <v>9.6871</v>
      </c>
      <c r="F427" s="25">
        <f>ROUND(9.6871,4)</f>
        <v>9.6871</v>
      </c>
      <c r="G427" s="24"/>
      <c r="H427" s="35"/>
    </row>
    <row r="428" spans="1:8" ht="12.75" customHeight="1">
      <c r="A428" s="22">
        <v>43542</v>
      </c>
      <c r="B428" s="22"/>
      <c r="C428" s="25">
        <f>ROUND(9.3959982081529,4)</f>
        <v>9.396</v>
      </c>
      <c r="D428" s="25">
        <f>F428</f>
        <v>9.8206</v>
      </c>
      <c r="E428" s="25">
        <f>F428</f>
        <v>9.8206</v>
      </c>
      <c r="F428" s="25">
        <f>ROUND(9.8206,4)</f>
        <v>9.8206</v>
      </c>
      <c r="G428" s="24"/>
      <c r="H428" s="35"/>
    </row>
    <row r="429" spans="1:8" ht="12.75" customHeight="1">
      <c r="A429" s="22">
        <v>43630</v>
      </c>
      <c r="B429" s="22"/>
      <c r="C429" s="25">
        <f>ROUND(9.3959982081529,4)</f>
        <v>9.396</v>
      </c>
      <c r="D429" s="25">
        <f>F429</f>
        <v>10.2472</v>
      </c>
      <c r="E429" s="25">
        <f>F429</f>
        <v>10.2472</v>
      </c>
      <c r="F429" s="25">
        <f>ROUND(10.2472,4)</f>
        <v>10.2472</v>
      </c>
      <c r="G429" s="24"/>
      <c r="H429" s="35"/>
    </row>
    <row r="430" spans="1:8" ht="12.75" customHeight="1">
      <c r="A430" s="22">
        <v>43724</v>
      </c>
      <c r="B430" s="22"/>
      <c r="C430" s="25">
        <f>ROUND(9.3959982081529,4)</f>
        <v>9.396</v>
      </c>
      <c r="D430" s="25">
        <f>F430</f>
        <v>10.3679</v>
      </c>
      <c r="E430" s="25">
        <f>F430</f>
        <v>10.3679</v>
      </c>
      <c r="F430" s="25">
        <f>ROUND(10.3679,4)</f>
        <v>10.3679</v>
      </c>
      <c r="G430" s="24"/>
      <c r="H430" s="35"/>
    </row>
    <row r="431" spans="1:8" ht="12.75" customHeight="1">
      <c r="A431" s="22">
        <v>43812</v>
      </c>
      <c r="B431" s="22"/>
      <c r="C431" s="25">
        <f>ROUND(9.3959982081529,4)</f>
        <v>9.396</v>
      </c>
      <c r="D431" s="25">
        <f>F431</f>
        <v>10.5263</v>
      </c>
      <c r="E431" s="25">
        <f>F431</f>
        <v>10.5263</v>
      </c>
      <c r="F431" s="25">
        <f>ROUND(10.5263,4)</f>
        <v>10.5263</v>
      </c>
      <c r="G431" s="24"/>
      <c r="H431" s="35"/>
    </row>
    <row r="432" spans="1:8" ht="12.75" customHeight="1">
      <c r="A432" s="22">
        <v>43906</v>
      </c>
      <c r="B432" s="22"/>
      <c r="C432" s="25">
        <f>ROUND(9.3959982081529,4)</f>
        <v>9.396</v>
      </c>
      <c r="D432" s="25">
        <f>F432</f>
        <v>10.6822</v>
      </c>
      <c r="E432" s="25">
        <f>F432</f>
        <v>10.6822</v>
      </c>
      <c r="F432" s="25">
        <f>ROUND(10.6822,4)</f>
        <v>10.6822</v>
      </c>
      <c r="G432" s="24"/>
      <c r="H432" s="35"/>
    </row>
    <row r="433" spans="1:8" ht="12.75" customHeight="1">
      <c r="A433" s="22" t="s">
        <v>83</v>
      </c>
      <c r="B433" s="22"/>
      <c r="C433" s="23"/>
      <c r="D433" s="23"/>
      <c r="E433" s="23"/>
      <c r="F433" s="23"/>
      <c r="G433" s="24"/>
      <c r="H433" s="35"/>
    </row>
    <row r="434" spans="1:8" ht="12.75" customHeight="1">
      <c r="A434" s="22">
        <v>43269</v>
      </c>
      <c r="B434" s="22"/>
      <c r="C434" s="25">
        <f>ROUND(2.70482290233838,4)</f>
        <v>2.7048</v>
      </c>
      <c r="D434" s="25">
        <f>F434</f>
        <v>2.6908</v>
      </c>
      <c r="E434" s="25">
        <f>F434</f>
        <v>2.6908</v>
      </c>
      <c r="F434" s="25">
        <f>ROUND(2.6908,4)</f>
        <v>2.6908</v>
      </c>
      <c r="G434" s="24"/>
      <c r="H434" s="35"/>
    </row>
    <row r="435" spans="1:8" ht="12.75" customHeight="1">
      <c r="A435" s="22">
        <v>43360</v>
      </c>
      <c r="B435" s="22"/>
      <c r="C435" s="25">
        <f>ROUND(2.70482290233838,4)</f>
        <v>2.7048</v>
      </c>
      <c r="D435" s="25">
        <f>F435</f>
        <v>2.6311</v>
      </c>
      <c r="E435" s="25">
        <f>F435</f>
        <v>2.6311</v>
      </c>
      <c r="F435" s="25">
        <f>ROUND(2.6311,4)</f>
        <v>2.6311</v>
      </c>
      <c r="G435" s="24"/>
      <c r="H435" s="35"/>
    </row>
    <row r="436" spans="1:8" ht="12.75" customHeight="1">
      <c r="A436" s="22">
        <v>43448</v>
      </c>
      <c r="B436" s="22"/>
      <c r="C436" s="25">
        <f>ROUND(2.70482290233838,4)</f>
        <v>2.7048</v>
      </c>
      <c r="D436" s="25">
        <f>F436</f>
        <v>2.5703</v>
      </c>
      <c r="E436" s="25">
        <f>F436</f>
        <v>2.5703</v>
      </c>
      <c r="F436" s="25">
        <f>ROUND(2.5703,4)</f>
        <v>2.5703</v>
      </c>
      <c r="G436" s="24"/>
      <c r="H436" s="35"/>
    </row>
    <row r="437" spans="1:8" ht="12.75" customHeight="1">
      <c r="A437" s="22">
        <v>43542</v>
      </c>
      <c r="B437" s="22"/>
      <c r="C437" s="25">
        <f>ROUND(2.70482290233838,4)</f>
        <v>2.7048</v>
      </c>
      <c r="D437" s="25">
        <f>F437</f>
        <v>2.5041</v>
      </c>
      <c r="E437" s="25">
        <f>F437</f>
        <v>2.5041</v>
      </c>
      <c r="F437" s="25">
        <f>ROUND(2.5041,4)</f>
        <v>2.5041</v>
      </c>
      <c r="G437" s="24"/>
      <c r="H437" s="35"/>
    </row>
    <row r="438" spans="1:8" ht="12.75" customHeight="1">
      <c r="A438" s="22">
        <v>43630</v>
      </c>
      <c r="B438" s="22"/>
      <c r="C438" s="25">
        <f>ROUND(2.70482290233838,4)</f>
        <v>2.7048</v>
      </c>
      <c r="D438" s="25">
        <f>F438</f>
        <v>2.5242</v>
      </c>
      <c r="E438" s="25">
        <f>F438</f>
        <v>2.5242</v>
      </c>
      <c r="F438" s="25">
        <f>ROUND(2.5242,4)</f>
        <v>2.5242</v>
      </c>
      <c r="G438" s="24"/>
      <c r="H438" s="35"/>
    </row>
    <row r="439" spans="1:8" ht="12.75" customHeight="1">
      <c r="A439" s="22">
        <v>43724</v>
      </c>
      <c r="B439" s="22"/>
      <c r="C439" s="25">
        <f>ROUND(2.70482290233838,4)</f>
        <v>2.7048</v>
      </c>
      <c r="D439" s="25">
        <f>F439</f>
        <v>2.4658</v>
      </c>
      <c r="E439" s="25">
        <f>F439</f>
        <v>2.4658</v>
      </c>
      <c r="F439" s="25">
        <f>ROUND(2.4658,4)</f>
        <v>2.4658</v>
      </c>
      <c r="G439" s="24"/>
      <c r="H439" s="35"/>
    </row>
    <row r="440" spans="1:8" ht="12.75" customHeight="1">
      <c r="A440" s="22">
        <v>43812</v>
      </c>
      <c r="B440" s="22"/>
      <c r="C440" s="25">
        <f>ROUND(2.70482290233838,4)</f>
        <v>2.7048</v>
      </c>
      <c r="D440" s="25">
        <f>F440</f>
        <v>2.4249</v>
      </c>
      <c r="E440" s="25">
        <f>F440</f>
        <v>2.4249</v>
      </c>
      <c r="F440" s="25">
        <f>ROUND(2.4249,4)</f>
        <v>2.4249</v>
      </c>
      <c r="G440" s="24"/>
      <c r="H440" s="35"/>
    </row>
    <row r="441" spans="1:8" ht="12.75" customHeight="1">
      <c r="A441" s="22">
        <v>43906</v>
      </c>
      <c r="B441" s="22"/>
      <c r="C441" s="25">
        <f>ROUND(2.70482290233838,4)</f>
        <v>2.7048</v>
      </c>
      <c r="D441" s="25">
        <f>F441</f>
        <v>2.3807</v>
      </c>
      <c r="E441" s="25">
        <f>F441</f>
        <v>2.3807</v>
      </c>
      <c r="F441" s="25">
        <f>ROUND(2.3807,4)</f>
        <v>2.3807</v>
      </c>
      <c r="G441" s="24"/>
      <c r="H441" s="35"/>
    </row>
    <row r="442" spans="1:8" ht="12.75" customHeight="1">
      <c r="A442" s="22" t="s">
        <v>84</v>
      </c>
      <c r="B442" s="22"/>
      <c r="C442" s="23"/>
      <c r="D442" s="23"/>
      <c r="E442" s="23"/>
      <c r="F442" s="23"/>
      <c r="G442" s="24"/>
      <c r="H442" s="35"/>
    </row>
    <row r="443" spans="1:8" ht="12.75" customHeight="1">
      <c r="A443" s="22">
        <v>43269</v>
      </c>
      <c r="B443" s="22"/>
      <c r="C443" s="25">
        <f>ROUND(12.585,4)</f>
        <v>12.585</v>
      </c>
      <c r="D443" s="25">
        <f>F443</f>
        <v>12.6269</v>
      </c>
      <c r="E443" s="25">
        <f>F443</f>
        <v>12.6269</v>
      </c>
      <c r="F443" s="25">
        <f>ROUND(12.6269,4)</f>
        <v>12.6269</v>
      </c>
      <c r="G443" s="24"/>
      <c r="H443" s="35"/>
    </row>
    <row r="444" spans="1:8" ht="12.75" customHeight="1">
      <c r="A444" s="22">
        <v>43360</v>
      </c>
      <c r="B444" s="22"/>
      <c r="C444" s="25">
        <f>ROUND(12.585,4)</f>
        <v>12.585</v>
      </c>
      <c r="D444" s="25">
        <f>F444</f>
        <v>12.7763</v>
      </c>
      <c r="E444" s="25">
        <f>F444</f>
        <v>12.7763</v>
      </c>
      <c r="F444" s="25">
        <f>ROUND(12.7763,4)</f>
        <v>12.7763</v>
      </c>
      <c r="G444" s="24"/>
      <c r="H444" s="35"/>
    </row>
    <row r="445" spans="1:8" ht="12.75" customHeight="1">
      <c r="A445" s="22">
        <v>43448</v>
      </c>
      <c r="B445" s="22"/>
      <c r="C445" s="25">
        <f>ROUND(12.585,4)</f>
        <v>12.585</v>
      </c>
      <c r="D445" s="25">
        <f>F445</f>
        <v>12.9157</v>
      </c>
      <c r="E445" s="25">
        <f>F445</f>
        <v>12.9157</v>
      </c>
      <c r="F445" s="25">
        <f>ROUND(12.9157,4)</f>
        <v>12.9157</v>
      </c>
      <c r="G445" s="24"/>
      <c r="H445" s="35"/>
    </row>
    <row r="446" spans="1:8" ht="12.75" customHeight="1">
      <c r="A446" s="22">
        <v>43542</v>
      </c>
      <c r="B446" s="22"/>
      <c r="C446" s="25">
        <f>ROUND(12.585,4)</f>
        <v>12.585</v>
      </c>
      <c r="D446" s="25">
        <f>F446</f>
        <v>13.0634</v>
      </c>
      <c r="E446" s="25">
        <f>F446</f>
        <v>13.0634</v>
      </c>
      <c r="F446" s="25">
        <f>ROUND(13.0634,4)</f>
        <v>13.0634</v>
      </c>
      <c r="G446" s="24"/>
      <c r="H446" s="35"/>
    </row>
    <row r="447" spans="1:8" ht="12.75" customHeight="1">
      <c r="A447" s="22">
        <v>43630</v>
      </c>
      <c r="B447" s="22"/>
      <c r="C447" s="25">
        <f>ROUND(12.585,4)</f>
        <v>12.585</v>
      </c>
      <c r="D447" s="25">
        <f>F447</f>
        <v>13.1991</v>
      </c>
      <c r="E447" s="25">
        <f>F447</f>
        <v>13.1991</v>
      </c>
      <c r="F447" s="25">
        <f>ROUND(13.1991,4)</f>
        <v>13.1991</v>
      </c>
      <c r="G447" s="24"/>
      <c r="H447" s="35"/>
    </row>
    <row r="448" spans="1:8" ht="12.75" customHeight="1">
      <c r="A448" s="22">
        <v>43724</v>
      </c>
      <c r="B448" s="22"/>
      <c r="C448" s="25">
        <f>ROUND(12.585,4)</f>
        <v>12.585</v>
      </c>
      <c r="D448" s="25">
        <f>F448</f>
        <v>13.3389</v>
      </c>
      <c r="E448" s="25">
        <f>F448</f>
        <v>13.3389</v>
      </c>
      <c r="F448" s="25">
        <f>ROUND(13.3389,4)</f>
        <v>13.3389</v>
      </c>
      <c r="G448" s="24"/>
      <c r="H448" s="35"/>
    </row>
    <row r="449" spans="1:8" ht="12.75" customHeight="1">
      <c r="A449" s="22">
        <v>43812</v>
      </c>
      <c r="B449" s="22"/>
      <c r="C449" s="25">
        <f>ROUND(12.585,4)</f>
        <v>12.585</v>
      </c>
      <c r="D449" s="25">
        <f>F449</f>
        <v>13.4697</v>
      </c>
      <c r="E449" s="25">
        <f>F449</f>
        <v>13.4697</v>
      </c>
      <c r="F449" s="25">
        <f>ROUND(13.4697,4)</f>
        <v>13.4697</v>
      </c>
      <c r="G449" s="24"/>
      <c r="H449" s="35"/>
    </row>
    <row r="450" spans="1:8" ht="12.75" customHeight="1">
      <c r="A450" s="22">
        <v>43906</v>
      </c>
      <c r="B450" s="22"/>
      <c r="C450" s="25">
        <f>ROUND(12.585,4)</f>
        <v>12.585</v>
      </c>
      <c r="D450" s="25">
        <f>F450</f>
        <v>13.6094</v>
      </c>
      <c r="E450" s="25">
        <f>F450</f>
        <v>13.6094</v>
      </c>
      <c r="F450" s="25">
        <f>ROUND(13.6094,4)</f>
        <v>13.6094</v>
      </c>
      <c r="G450" s="24"/>
      <c r="H450" s="35"/>
    </row>
    <row r="451" spans="1:8" ht="12.75" customHeight="1">
      <c r="A451" s="22" t="s">
        <v>85</v>
      </c>
      <c r="B451" s="22"/>
      <c r="C451" s="23"/>
      <c r="D451" s="23"/>
      <c r="E451" s="23"/>
      <c r="F451" s="23"/>
      <c r="G451" s="24"/>
      <c r="H451" s="35"/>
    </row>
    <row r="452" spans="1:8" ht="12.75" customHeight="1">
      <c r="A452" s="22">
        <v>43269</v>
      </c>
      <c r="B452" s="22"/>
      <c r="C452" s="25">
        <f>ROUND(12.585,4)</f>
        <v>12.585</v>
      </c>
      <c r="D452" s="25">
        <f>F452</f>
        <v>12.6269</v>
      </c>
      <c r="E452" s="25">
        <f>F452</f>
        <v>12.6269</v>
      </c>
      <c r="F452" s="25">
        <f>ROUND(12.6269,4)</f>
        <v>12.6269</v>
      </c>
      <c r="G452" s="24"/>
      <c r="H452" s="35"/>
    </row>
    <row r="453" spans="1:8" ht="12.75" customHeight="1">
      <c r="A453" s="22">
        <v>43360</v>
      </c>
      <c r="B453" s="22"/>
      <c r="C453" s="25">
        <f>ROUND(12.585,4)</f>
        <v>12.585</v>
      </c>
      <c r="D453" s="25">
        <f>F453</f>
        <v>12.7763</v>
      </c>
      <c r="E453" s="25">
        <f>F453</f>
        <v>12.7763</v>
      </c>
      <c r="F453" s="25">
        <f>ROUND(12.7763,4)</f>
        <v>12.7763</v>
      </c>
      <c r="G453" s="24"/>
      <c r="H453" s="35"/>
    </row>
    <row r="454" spans="1:8" ht="12.75" customHeight="1">
      <c r="A454" s="22">
        <v>43448</v>
      </c>
      <c r="B454" s="22"/>
      <c r="C454" s="25">
        <f>ROUND(12.585,4)</f>
        <v>12.585</v>
      </c>
      <c r="D454" s="25">
        <f>F454</f>
        <v>12.9157</v>
      </c>
      <c r="E454" s="25">
        <f>F454</f>
        <v>12.9157</v>
      </c>
      <c r="F454" s="25">
        <f>ROUND(12.9157,4)</f>
        <v>12.9157</v>
      </c>
      <c r="G454" s="24"/>
      <c r="H454" s="35"/>
    </row>
    <row r="455" spans="1:8" ht="12.75" customHeight="1">
      <c r="A455" s="22">
        <v>43542</v>
      </c>
      <c r="B455" s="22"/>
      <c r="C455" s="25">
        <f>ROUND(12.585,4)</f>
        <v>12.585</v>
      </c>
      <c r="D455" s="25">
        <f>F455</f>
        <v>13.0634</v>
      </c>
      <c r="E455" s="25">
        <f>F455</f>
        <v>13.0634</v>
      </c>
      <c r="F455" s="25">
        <f>ROUND(13.0634,4)</f>
        <v>13.0634</v>
      </c>
      <c r="G455" s="24"/>
      <c r="H455" s="35"/>
    </row>
    <row r="456" spans="1:8" ht="12.75" customHeight="1">
      <c r="A456" s="22">
        <v>43630</v>
      </c>
      <c r="B456" s="22"/>
      <c r="C456" s="25">
        <f>ROUND(12.585,4)</f>
        <v>12.585</v>
      </c>
      <c r="D456" s="25">
        <f>F456</f>
        <v>13.1991</v>
      </c>
      <c r="E456" s="25">
        <f>F456</f>
        <v>13.1991</v>
      </c>
      <c r="F456" s="25">
        <f>ROUND(13.1991,4)</f>
        <v>13.1991</v>
      </c>
      <c r="G456" s="24"/>
      <c r="H456" s="35"/>
    </row>
    <row r="457" spans="1:8" ht="12.75" customHeight="1">
      <c r="A457" s="22">
        <v>43724</v>
      </c>
      <c r="B457" s="22"/>
      <c r="C457" s="25">
        <f>ROUND(12.585,4)</f>
        <v>12.585</v>
      </c>
      <c r="D457" s="25">
        <f>F457</f>
        <v>13.3389</v>
      </c>
      <c r="E457" s="25">
        <f>F457</f>
        <v>13.3389</v>
      </c>
      <c r="F457" s="25">
        <f>ROUND(13.3389,4)</f>
        <v>13.3389</v>
      </c>
      <c r="G457" s="24"/>
      <c r="H457" s="35"/>
    </row>
    <row r="458" spans="1:8" ht="12.75" customHeight="1">
      <c r="A458" s="22">
        <v>43812</v>
      </c>
      <c r="B458" s="22"/>
      <c r="C458" s="25">
        <f>ROUND(12.585,4)</f>
        <v>12.585</v>
      </c>
      <c r="D458" s="25">
        <f>F458</f>
        <v>13.4697</v>
      </c>
      <c r="E458" s="25">
        <f>F458</f>
        <v>13.4697</v>
      </c>
      <c r="F458" s="25">
        <f>ROUND(13.4697,4)</f>
        <v>13.4697</v>
      </c>
      <c r="G458" s="24"/>
      <c r="H458" s="35"/>
    </row>
    <row r="459" spans="1:8" ht="12.75" customHeight="1">
      <c r="A459" s="22">
        <v>43906</v>
      </c>
      <c r="B459" s="22"/>
      <c r="C459" s="25">
        <f>ROUND(12.585,4)</f>
        <v>12.585</v>
      </c>
      <c r="D459" s="25">
        <f>F459</f>
        <v>13.6094</v>
      </c>
      <c r="E459" s="25">
        <f>F459</f>
        <v>13.6094</v>
      </c>
      <c r="F459" s="25">
        <f>ROUND(13.6094,4)</f>
        <v>13.6094</v>
      </c>
      <c r="G459" s="24"/>
      <c r="H459" s="35"/>
    </row>
    <row r="460" spans="1:8" ht="12.75" customHeight="1">
      <c r="A460" s="22">
        <v>43994</v>
      </c>
      <c r="B460" s="22"/>
      <c r="C460" s="25">
        <f>ROUND(12.585,4)</f>
        <v>12.585</v>
      </c>
      <c r="D460" s="25">
        <f>F460</f>
        <v>13.7495</v>
      </c>
      <c r="E460" s="25">
        <f>F460</f>
        <v>13.7495</v>
      </c>
      <c r="F460" s="25">
        <f>ROUND(13.7495,4)</f>
        <v>13.7495</v>
      </c>
      <c r="G460" s="24"/>
      <c r="H460" s="35"/>
    </row>
    <row r="461" spans="1:8" ht="12.75" customHeight="1">
      <c r="A461" s="22">
        <v>44088</v>
      </c>
      <c r="B461" s="22"/>
      <c r="C461" s="25">
        <f>ROUND(12.585,4)</f>
        <v>12.585</v>
      </c>
      <c r="D461" s="25">
        <f>F461</f>
        <v>13.9405</v>
      </c>
      <c r="E461" s="25">
        <f>F461</f>
        <v>13.9405</v>
      </c>
      <c r="F461" s="25">
        <f>ROUND(13.9405,4)</f>
        <v>13.9405</v>
      </c>
      <c r="G461" s="24"/>
      <c r="H461" s="35"/>
    </row>
    <row r="462" spans="1:8" ht="12.75" customHeight="1">
      <c r="A462" s="22">
        <v>44179</v>
      </c>
      <c r="B462" s="22"/>
      <c r="C462" s="25">
        <f>ROUND(12.585,4)</f>
        <v>12.585</v>
      </c>
      <c r="D462" s="25">
        <f>F462</f>
        <v>14.1254</v>
      </c>
      <c r="E462" s="25">
        <f>F462</f>
        <v>14.1254</v>
      </c>
      <c r="F462" s="25">
        <f>ROUND(14.1254,4)</f>
        <v>14.1254</v>
      </c>
      <c r="G462" s="24"/>
      <c r="H462" s="35"/>
    </row>
    <row r="463" spans="1:8" ht="12.75" customHeight="1">
      <c r="A463" s="22">
        <v>44270</v>
      </c>
      <c r="B463" s="22"/>
      <c r="C463" s="25">
        <f>ROUND(12.585,4)</f>
        <v>12.585</v>
      </c>
      <c r="D463" s="25">
        <f>F463</f>
        <v>14.3103</v>
      </c>
      <c r="E463" s="25">
        <f>F463</f>
        <v>14.3103</v>
      </c>
      <c r="F463" s="25">
        <f>ROUND(14.3103,4)</f>
        <v>14.3103</v>
      </c>
      <c r="G463" s="24"/>
      <c r="H463" s="35"/>
    </row>
    <row r="464" spans="1:8" ht="12.75" customHeight="1">
      <c r="A464" s="22">
        <v>44358</v>
      </c>
      <c r="B464" s="22"/>
      <c r="C464" s="25">
        <f>ROUND(12.585,4)</f>
        <v>12.585</v>
      </c>
      <c r="D464" s="25">
        <f>F464</f>
        <v>14.4891</v>
      </c>
      <c r="E464" s="25">
        <f>F464</f>
        <v>14.4891</v>
      </c>
      <c r="F464" s="25">
        <f>ROUND(14.4891,4)</f>
        <v>14.4891</v>
      </c>
      <c r="G464" s="24"/>
      <c r="H464" s="35"/>
    </row>
    <row r="465" spans="1:8" ht="12.75" customHeight="1">
      <c r="A465" s="22" t="s">
        <v>86</v>
      </c>
      <c r="B465" s="22"/>
      <c r="C465" s="23"/>
      <c r="D465" s="23"/>
      <c r="E465" s="23"/>
      <c r="F465" s="23"/>
      <c r="G465" s="24"/>
      <c r="H465" s="35"/>
    </row>
    <row r="466" spans="1:8" ht="12.75" customHeight="1">
      <c r="A466" s="22">
        <v>43269</v>
      </c>
      <c r="B466" s="22"/>
      <c r="C466" s="25">
        <f>ROUND(1.23080684596577,4)</f>
        <v>1.2308</v>
      </c>
      <c r="D466" s="25">
        <f>F466</f>
        <v>1.2201</v>
      </c>
      <c r="E466" s="25">
        <f>F466</f>
        <v>1.2201</v>
      </c>
      <c r="F466" s="25">
        <f>ROUND(1.2201,4)</f>
        <v>1.2201</v>
      </c>
      <c r="G466" s="24"/>
      <c r="H466" s="35"/>
    </row>
    <row r="467" spans="1:8" ht="12.75" customHeight="1">
      <c r="A467" s="22">
        <v>43360</v>
      </c>
      <c r="B467" s="22"/>
      <c r="C467" s="25">
        <f>ROUND(1.23080684596577,4)</f>
        <v>1.2308</v>
      </c>
      <c r="D467" s="25">
        <f>F467</f>
        <v>1.1908</v>
      </c>
      <c r="E467" s="25">
        <f>F467</f>
        <v>1.1908</v>
      </c>
      <c r="F467" s="25">
        <f>ROUND(1.1908,4)</f>
        <v>1.1908</v>
      </c>
      <c r="G467" s="24"/>
      <c r="H467" s="35"/>
    </row>
    <row r="468" spans="1:8" ht="12.75" customHeight="1">
      <c r="A468" s="22">
        <v>43448</v>
      </c>
      <c r="B468" s="22"/>
      <c r="C468" s="25">
        <f>ROUND(1.23080684596577,4)</f>
        <v>1.2308</v>
      </c>
      <c r="D468" s="25">
        <f>F468</f>
        <v>1.1608</v>
      </c>
      <c r="E468" s="25">
        <f>F468</f>
        <v>1.1608</v>
      </c>
      <c r="F468" s="25">
        <f>ROUND(1.1608,4)</f>
        <v>1.1608</v>
      </c>
      <c r="G468" s="24"/>
      <c r="H468" s="35"/>
    </row>
    <row r="469" spans="1:8" ht="12.75" customHeight="1">
      <c r="A469" s="22">
        <v>43542</v>
      </c>
      <c r="B469" s="22"/>
      <c r="C469" s="25">
        <f>ROUND(1.23080684596577,4)</f>
        <v>1.2308</v>
      </c>
      <c r="D469" s="25">
        <f>F469</f>
        <v>1.1235</v>
      </c>
      <c r="E469" s="25">
        <f>F469</f>
        <v>1.1235</v>
      </c>
      <c r="F469" s="25">
        <f>ROUND(1.1235,4)</f>
        <v>1.1235</v>
      </c>
      <c r="G469" s="24"/>
      <c r="H469" s="35"/>
    </row>
    <row r="470" spans="1:8" ht="12.75" customHeight="1">
      <c r="A470" s="22">
        <v>43630</v>
      </c>
      <c r="B470" s="22"/>
      <c r="C470" s="25">
        <f>ROUND(1.23080684596577,4)</f>
        <v>1.2308</v>
      </c>
      <c r="D470" s="25">
        <f>F470</f>
        <v>1.0936</v>
      </c>
      <c r="E470" s="25">
        <f>F470</f>
        <v>1.0936</v>
      </c>
      <c r="F470" s="25">
        <f>ROUND(1.0936,4)</f>
        <v>1.0936</v>
      </c>
      <c r="G470" s="24"/>
      <c r="H470" s="35"/>
    </row>
    <row r="471" spans="1:8" ht="12.75" customHeight="1">
      <c r="A471" s="22">
        <v>43724</v>
      </c>
      <c r="B471" s="22"/>
      <c r="C471" s="25">
        <f>ROUND(1.23080684596577,4)</f>
        <v>1.2308</v>
      </c>
      <c r="D471" s="25">
        <f>F471</f>
        <v>1.0636</v>
      </c>
      <c r="E471" s="25">
        <f>F471</f>
        <v>1.0636</v>
      </c>
      <c r="F471" s="25">
        <f>ROUND(1.0636,4)</f>
        <v>1.0636</v>
      </c>
      <c r="G471" s="24"/>
      <c r="H471" s="35"/>
    </row>
    <row r="472" spans="1:8" ht="12.75" customHeight="1">
      <c r="A472" s="22" t="s">
        <v>87</v>
      </c>
      <c r="B472" s="22"/>
      <c r="C472" s="23"/>
      <c r="D472" s="23"/>
      <c r="E472" s="23"/>
      <c r="F472" s="23"/>
      <c r="G472" s="24"/>
      <c r="H472" s="35"/>
    </row>
    <row r="473" spans="1:8" ht="12.75" customHeight="1">
      <c r="A473" s="22">
        <v>43314</v>
      </c>
      <c r="B473" s="22"/>
      <c r="C473" s="27">
        <f>ROUND(676.673,3)</f>
        <v>676.673</v>
      </c>
      <c r="D473" s="27">
        <f>F473</f>
        <v>686.183</v>
      </c>
      <c r="E473" s="27">
        <f>F473</f>
        <v>686.183</v>
      </c>
      <c r="F473" s="27">
        <f>ROUND(686.183,3)</f>
        <v>686.183</v>
      </c>
      <c r="G473" s="24"/>
      <c r="H473" s="35"/>
    </row>
    <row r="474" spans="1:8" ht="12.75" customHeight="1">
      <c r="A474" s="22">
        <v>43405</v>
      </c>
      <c r="B474" s="22"/>
      <c r="C474" s="27">
        <f>ROUND(676.673,3)</f>
        <v>676.673</v>
      </c>
      <c r="D474" s="27">
        <f>F474</f>
        <v>698.48</v>
      </c>
      <c r="E474" s="27">
        <f>F474</f>
        <v>698.48</v>
      </c>
      <c r="F474" s="27">
        <f>ROUND(698.48,3)</f>
        <v>698.48</v>
      </c>
      <c r="G474" s="24"/>
      <c r="H474" s="35"/>
    </row>
    <row r="475" spans="1:8" ht="12.75" customHeight="1">
      <c r="A475" s="22">
        <v>43503</v>
      </c>
      <c r="B475" s="22"/>
      <c r="C475" s="27">
        <f>ROUND(676.673,3)</f>
        <v>676.673</v>
      </c>
      <c r="D475" s="27">
        <f>F475</f>
        <v>712.036</v>
      </c>
      <c r="E475" s="27">
        <f>F475</f>
        <v>712.036</v>
      </c>
      <c r="F475" s="27">
        <f>ROUND(712.036,3)</f>
        <v>712.036</v>
      </c>
      <c r="G475" s="24"/>
      <c r="H475" s="35"/>
    </row>
    <row r="476" spans="1:8" ht="12.75" customHeight="1">
      <c r="A476" s="22">
        <v>43587</v>
      </c>
      <c r="B476" s="22"/>
      <c r="C476" s="27">
        <f>ROUND(676.673,3)</f>
        <v>676.673</v>
      </c>
      <c r="D476" s="27">
        <f>F476</f>
        <v>724.195</v>
      </c>
      <c r="E476" s="27">
        <f>F476</f>
        <v>724.195</v>
      </c>
      <c r="F476" s="27">
        <f>ROUND(724.195,3)</f>
        <v>724.195</v>
      </c>
      <c r="G476" s="24"/>
      <c r="H476" s="35"/>
    </row>
    <row r="477" spans="1:8" ht="12.75" customHeight="1">
      <c r="A477" s="22" t="s">
        <v>88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43314</v>
      </c>
      <c r="B478" s="22"/>
      <c r="C478" s="27">
        <f>ROUND(581.017,3)</f>
        <v>581.017</v>
      </c>
      <c r="D478" s="27">
        <f>F478</f>
        <v>589.183</v>
      </c>
      <c r="E478" s="27">
        <f>F478</f>
        <v>589.183</v>
      </c>
      <c r="F478" s="27">
        <f>ROUND(589.183,3)</f>
        <v>589.183</v>
      </c>
      <c r="G478" s="24"/>
      <c r="H478" s="35"/>
    </row>
    <row r="479" spans="1:8" ht="12.75" customHeight="1">
      <c r="A479" s="22">
        <v>43405</v>
      </c>
      <c r="B479" s="22"/>
      <c r="C479" s="27">
        <f>ROUND(581.017,3)</f>
        <v>581.017</v>
      </c>
      <c r="D479" s="27">
        <f>F479</f>
        <v>599.741</v>
      </c>
      <c r="E479" s="27">
        <f>F479</f>
        <v>599.741</v>
      </c>
      <c r="F479" s="27">
        <f>ROUND(599.741,3)</f>
        <v>599.741</v>
      </c>
      <c r="G479" s="24"/>
      <c r="H479" s="35"/>
    </row>
    <row r="480" spans="1:8" ht="12.75" customHeight="1">
      <c r="A480" s="22">
        <v>43503</v>
      </c>
      <c r="B480" s="22"/>
      <c r="C480" s="27">
        <f>ROUND(581.017,3)</f>
        <v>581.017</v>
      </c>
      <c r="D480" s="27">
        <f>F480</f>
        <v>611.381</v>
      </c>
      <c r="E480" s="27">
        <f>F480</f>
        <v>611.381</v>
      </c>
      <c r="F480" s="27">
        <f>ROUND(611.381,3)</f>
        <v>611.381</v>
      </c>
      <c r="G480" s="24"/>
      <c r="H480" s="35"/>
    </row>
    <row r="481" spans="1:8" ht="12.75" customHeight="1">
      <c r="A481" s="22">
        <v>43587</v>
      </c>
      <c r="B481" s="22"/>
      <c r="C481" s="27">
        <f>ROUND(581.017,3)</f>
        <v>581.017</v>
      </c>
      <c r="D481" s="27">
        <f>F481</f>
        <v>621.821</v>
      </c>
      <c r="E481" s="27">
        <f>F481</f>
        <v>621.821</v>
      </c>
      <c r="F481" s="27">
        <f>ROUND(621.821,3)</f>
        <v>621.821</v>
      </c>
      <c r="G481" s="24"/>
      <c r="H481" s="35"/>
    </row>
    <row r="482" spans="1:8" ht="12.75" customHeight="1">
      <c r="A482" s="22" t="s">
        <v>89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43314</v>
      </c>
      <c r="B483" s="22"/>
      <c r="C483" s="27">
        <f>ROUND(677.286,3)</f>
        <v>677.286</v>
      </c>
      <c r="D483" s="27">
        <f>F483</f>
        <v>686.805</v>
      </c>
      <c r="E483" s="27">
        <f>F483</f>
        <v>686.805</v>
      </c>
      <c r="F483" s="27">
        <f>ROUND(686.805,3)</f>
        <v>686.805</v>
      </c>
      <c r="G483" s="24"/>
      <c r="H483" s="35"/>
    </row>
    <row r="484" spans="1:8" ht="12.75" customHeight="1">
      <c r="A484" s="22">
        <v>43405</v>
      </c>
      <c r="B484" s="22"/>
      <c r="C484" s="27">
        <f>ROUND(677.286,3)</f>
        <v>677.286</v>
      </c>
      <c r="D484" s="27">
        <f>F484</f>
        <v>699.113</v>
      </c>
      <c r="E484" s="27">
        <f>F484</f>
        <v>699.113</v>
      </c>
      <c r="F484" s="27">
        <f>ROUND(699.113,3)</f>
        <v>699.113</v>
      </c>
      <c r="G484" s="24"/>
      <c r="H484" s="35"/>
    </row>
    <row r="485" spans="1:8" ht="12.75" customHeight="1">
      <c r="A485" s="22">
        <v>43503</v>
      </c>
      <c r="B485" s="22"/>
      <c r="C485" s="27">
        <f>ROUND(677.286,3)</f>
        <v>677.286</v>
      </c>
      <c r="D485" s="27">
        <f>F485</f>
        <v>712.681</v>
      </c>
      <c r="E485" s="27">
        <f>F485</f>
        <v>712.681</v>
      </c>
      <c r="F485" s="27">
        <f>ROUND(712.681,3)</f>
        <v>712.681</v>
      </c>
      <c r="G485" s="24"/>
      <c r="H485" s="35"/>
    </row>
    <row r="486" spans="1:8" ht="12.75" customHeight="1">
      <c r="A486" s="22">
        <v>43587</v>
      </c>
      <c r="B486" s="22"/>
      <c r="C486" s="27">
        <f>ROUND(677.286,3)</f>
        <v>677.286</v>
      </c>
      <c r="D486" s="27">
        <f>F486</f>
        <v>724.851</v>
      </c>
      <c r="E486" s="27">
        <f>F486</f>
        <v>724.851</v>
      </c>
      <c r="F486" s="27">
        <f>ROUND(724.851,3)</f>
        <v>724.851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43314</v>
      </c>
      <c r="B488" s="22"/>
      <c r="C488" s="27">
        <f>ROUND(616.677,3)</f>
        <v>616.677</v>
      </c>
      <c r="D488" s="27">
        <f>F488</f>
        <v>625.344</v>
      </c>
      <c r="E488" s="27">
        <f>F488</f>
        <v>625.344</v>
      </c>
      <c r="F488" s="27">
        <f>ROUND(625.344,3)</f>
        <v>625.344</v>
      </c>
      <c r="G488" s="24"/>
      <c r="H488" s="35"/>
    </row>
    <row r="489" spans="1:8" ht="12.75" customHeight="1">
      <c r="A489" s="22">
        <v>43405</v>
      </c>
      <c r="B489" s="22"/>
      <c r="C489" s="27">
        <f>ROUND(616.677,3)</f>
        <v>616.677</v>
      </c>
      <c r="D489" s="27">
        <f>F489</f>
        <v>636.551</v>
      </c>
      <c r="E489" s="27">
        <f>F489</f>
        <v>636.551</v>
      </c>
      <c r="F489" s="27">
        <f>ROUND(636.551,3)</f>
        <v>636.551</v>
      </c>
      <c r="G489" s="24"/>
      <c r="H489" s="35"/>
    </row>
    <row r="490" spans="1:8" ht="12.75" customHeight="1">
      <c r="A490" s="22">
        <v>43503</v>
      </c>
      <c r="B490" s="22"/>
      <c r="C490" s="27">
        <f>ROUND(616.677,3)</f>
        <v>616.677</v>
      </c>
      <c r="D490" s="27">
        <f>F490</f>
        <v>648.905</v>
      </c>
      <c r="E490" s="27">
        <f>F490</f>
        <v>648.905</v>
      </c>
      <c r="F490" s="27">
        <f>ROUND(648.905,3)</f>
        <v>648.905</v>
      </c>
      <c r="G490" s="24"/>
      <c r="H490" s="35"/>
    </row>
    <row r="491" spans="1:8" ht="12.75" customHeight="1">
      <c r="A491" s="22">
        <v>43587</v>
      </c>
      <c r="B491" s="22"/>
      <c r="C491" s="27">
        <f>ROUND(616.677,3)</f>
        <v>616.677</v>
      </c>
      <c r="D491" s="27">
        <f>F491</f>
        <v>659.985</v>
      </c>
      <c r="E491" s="27">
        <f>F491</f>
        <v>659.985</v>
      </c>
      <c r="F491" s="27">
        <f>ROUND(659.985,3)</f>
        <v>659.985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ROUND(254.667309145493,3)</f>
        <v>254.667</v>
      </c>
      <c r="D493" s="27">
        <f>F493</f>
        <v>258.295</v>
      </c>
      <c r="E493" s="27">
        <f>F493</f>
        <v>258.295</v>
      </c>
      <c r="F493" s="27">
        <f>ROUND(258.295,3)</f>
        <v>258.295</v>
      </c>
      <c r="G493" s="24"/>
      <c r="H493" s="35"/>
    </row>
    <row r="494" spans="1:8" ht="12.75" customHeight="1">
      <c r="A494" s="22">
        <v>43405</v>
      </c>
      <c r="B494" s="22"/>
      <c r="C494" s="27">
        <f>ROUND(254.667309145493,3)</f>
        <v>254.667</v>
      </c>
      <c r="D494" s="27">
        <f>F494</f>
        <v>262.969</v>
      </c>
      <c r="E494" s="27">
        <f>F494</f>
        <v>262.969</v>
      </c>
      <c r="F494" s="27">
        <f>ROUND(262.969,3)</f>
        <v>262.969</v>
      </c>
      <c r="G494" s="24"/>
      <c r="H494" s="35"/>
    </row>
    <row r="495" spans="1:8" ht="12.75" customHeight="1">
      <c r="A495" s="22">
        <v>43503</v>
      </c>
      <c r="B495" s="22"/>
      <c r="C495" s="27">
        <f>ROUND(254.667309145493,3)</f>
        <v>254.667</v>
      </c>
      <c r="D495" s="27">
        <f>F495</f>
        <v>268.128</v>
      </c>
      <c r="E495" s="27">
        <f>F495</f>
        <v>268.128</v>
      </c>
      <c r="F495" s="27">
        <f>ROUND(268.128,3)</f>
        <v>268.128</v>
      </c>
      <c r="G495" s="24"/>
      <c r="H495" s="35"/>
    </row>
    <row r="496" spans="1:8" ht="12.75" customHeight="1">
      <c r="A496" s="22">
        <v>43587</v>
      </c>
      <c r="B496" s="22"/>
      <c r="C496" s="27">
        <f>ROUND(254.667309145493,3)</f>
        <v>254.667</v>
      </c>
      <c r="D496" s="27">
        <f>F496</f>
        <v>272.724</v>
      </c>
      <c r="E496" s="27">
        <f>F496</f>
        <v>272.724</v>
      </c>
      <c r="F496" s="27">
        <f>ROUND(272.724,3)</f>
        <v>272.724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43269</v>
      </c>
      <c r="B498" s="22"/>
      <c r="C498" s="24">
        <f>ROUND(22553.1237026258,2)</f>
        <v>22553.12</v>
      </c>
      <c r="D498" s="24">
        <f>F498</f>
        <v>22652.45</v>
      </c>
      <c r="E498" s="24">
        <f>F498</f>
        <v>22652.45</v>
      </c>
      <c r="F498" s="24">
        <f>ROUND(22652.45,2)</f>
        <v>22652.45</v>
      </c>
      <c r="G498" s="24"/>
      <c r="H498" s="35"/>
    </row>
    <row r="499" spans="1:8" ht="12.75" customHeight="1">
      <c r="A499" s="22">
        <v>43360</v>
      </c>
      <c r="B499" s="22"/>
      <c r="C499" s="24">
        <f>ROUND(22553.1237026258,2)</f>
        <v>22553.12</v>
      </c>
      <c r="D499" s="24">
        <f>F499</f>
        <v>22996.86</v>
      </c>
      <c r="E499" s="24">
        <f>F499</f>
        <v>22996.86</v>
      </c>
      <c r="F499" s="24">
        <f>ROUND(22996.86,2)</f>
        <v>22996.86</v>
      </c>
      <c r="G499" s="24"/>
      <c r="H499" s="35"/>
    </row>
    <row r="500" spans="1:8" ht="12.75" customHeight="1">
      <c r="A500" s="22">
        <v>43448</v>
      </c>
      <c r="B500" s="22"/>
      <c r="C500" s="24">
        <f>ROUND(22553.1237026258,2)</f>
        <v>22553.12</v>
      </c>
      <c r="D500" s="24">
        <f>F500</f>
        <v>23329.82</v>
      </c>
      <c r="E500" s="24">
        <f>F500</f>
        <v>23329.82</v>
      </c>
      <c r="F500" s="24">
        <f>ROUND(23329.82,2)</f>
        <v>23329.82</v>
      </c>
      <c r="G500" s="24"/>
      <c r="H500" s="35"/>
    </row>
    <row r="501" spans="1:8" ht="12.75" customHeight="1">
      <c r="A501" s="22" t="s">
        <v>93</v>
      </c>
      <c r="B501" s="22"/>
      <c r="C501" s="23"/>
      <c r="D501" s="23"/>
      <c r="E501" s="23"/>
      <c r="F501" s="23"/>
      <c r="G501" s="24"/>
      <c r="H501" s="35"/>
    </row>
    <row r="502" spans="1:8" ht="12.75" customHeight="1">
      <c r="A502" s="22">
        <v>43269</v>
      </c>
      <c r="B502" s="22"/>
      <c r="C502" s="27">
        <f>ROUND(6.9,3)</f>
        <v>6.9</v>
      </c>
      <c r="D502" s="27">
        <f>ROUND(7.51,3)</f>
        <v>7.51</v>
      </c>
      <c r="E502" s="27">
        <f>ROUND(7.41,3)</f>
        <v>7.41</v>
      </c>
      <c r="F502" s="27">
        <f>ROUND(7.46,3)</f>
        <v>7.46</v>
      </c>
      <c r="G502" s="24"/>
      <c r="H502" s="35"/>
    </row>
    <row r="503" spans="1:8" ht="12.75" customHeight="1">
      <c r="A503" s="22">
        <v>43271</v>
      </c>
      <c r="B503" s="22"/>
      <c r="C503" s="27">
        <f>ROUND(6.9,3)</f>
        <v>6.9</v>
      </c>
      <c r="D503" s="27">
        <f>ROUND(6.84,3)</f>
        <v>6.84</v>
      </c>
      <c r="E503" s="27">
        <f>ROUND(6.94,3)</f>
        <v>6.94</v>
      </c>
      <c r="F503" s="27">
        <f>ROUND(6.89,3)</f>
        <v>6.89</v>
      </c>
      <c r="G503" s="24"/>
      <c r="H503" s="35"/>
    </row>
    <row r="504" spans="1:8" ht="12.75" customHeight="1">
      <c r="A504" s="22">
        <v>43299</v>
      </c>
      <c r="B504" s="22"/>
      <c r="C504" s="27">
        <f>ROUND(6.9,3)</f>
        <v>6.9</v>
      </c>
      <c r="D504" s="27">
        <f>ROUND(6.77,3)</f>
        <v>6.77</v>
      </c>
      <c r="E504" s="27">
        <f>ROUND(6.87,3)</f>
        <v>6.87</v>
      </c>
      <c r="F504" s="27">
        <f>ROUND(6.82,3)</f>
        <v>6.82</v>
      </c>
      <c r="G504" s="24"/>
      <c r="H504" s="35"/>
    </row>
    <row r="505" spans="1:8" ht="12.75" customHeight="1">
      <c r="A505" s="22">
        <v>43362</v>
      </c>
      <c r="B505" s="22"/>
      <c r="C505" s="27">
        <f>ROUND(6.9,3)</f>
        <v>6.9</v>
      </c>
      <c r="D505" s="27">
        <f>ROUND(6.72,3)</f>
        <v>6.72</v>
      </c>
      <c r="E505" s="27">
        <f>ROUND(6.82,3)</f>
        <v>6.82</v>
      </c>
      <c r="F505" s="27">
        <f>ROUND(6.77,3)</f>
        <v>6.77</v>
      </c>
      <c r="G505" s="24"/>
      <c r="H505" s="35"/>
    </row>
    <row r="506" spans="1:8" ht="12.75" customHeight="1">
      <c r="A506" s="22">
        <v>43453</v>
      </c>
      <c r="B506" s="22"/>
      <c r="C506" s="27">
        <f>ROUND(6.9,3)</f>
        <v>6.9</v>
      </c>
      <c r="D506" s="27">
        <f>ROUND(6.75,3)</f>
        <v>6.75</v>
      </c>
      <c r="E506" s="27">
        <f>ROUND(6.85,3)</f>
        <v>6.85</v>
      </c>
      <c r="F506" s="27">
        <f>ROUND(6.8,3)</f>
        <v>6.8</v>
      </c>
      <c r="G506" s="24"/>
      <c r="H506" s="35"/>
    </row>
    <row r="507" spans="1:8" ht="12.75" customHeight="1">
      <c r="A507" s="22">
        <v>43544</v>
      </c>
      <c r="B507" s="22"/>
      <c r="C507" s="27">
        <f>ROUND(6.9,3)</f>
        <v>6.9</v>
      </c>
      <c r="D507" s="27">
        <f>ROUND(6.81,3)</f>
        <v>6.81</v>
      </c>
      <c r="E507" s="27">
        <f>ROUND(6.91,3)</f>
        <v>6.91</v>
      </c>
      <c r="F507" s="27">
        <f>ROUND(6.86,3)</f>
        <v>6.86</v>
      </c>
      <c r="G507" s="24"/>
      <c r="H507" s="35"/>
    </row>
    <row r="508" spans="1:8" ht="12.75" customHeight="1">
      <c r="A508" s="22">
        <v>43635</v>
      </c>
      <c r="B508" s="22"/>
      <c r="C508" s="27">
        <f>ROUND(6.9,3)</f>
        <v>6.9</v>
      </c>
      <c r="D508" s="27">
        <f>ROUND(6.86,3)</f>
        <v>6.86</v>
      </c>
      <c r="E508" s="27">
        <f>ROUND(6.96,3)</f>
        <v>6.96</v>
      </c>
      <c r="F508" s="27">
        <f>ROUND(6.91,3)</f>
        <v>6.91</v>
      </c>
      <c r="G508" s="24"/>
      <c r="H508" s="35"/>
    </row>
    <row r="509" spans="1:8" ht="12.75" customHeight="1">
      <c r="A509" s="22">
        <v>43726</v>
      </c>
      <c r="B509" s="22"/>
      <c r="C509" s="27">
        <f>ROUND(6.9,3)</f>
        <v>6.9</v>
      </c>
      <c r="D509" s="27">
        <f>ROUND(6.97,3)</f>
        <v>6.97</v>
      </c>
      <c r="E509" s="27">
        <f>ROUND(6.87,3)</f>
        <v>6.87</v>
      </c>
      <c r="F509" s="27">
        <f>ROUND(6.92,3)</f>
        <v>6.92</v>
      </c>
      <c r="G509" s="24"/>
      <c r="H509" s="35"/>
    </row>
    <row r="510" spans="1:8" ht="12.75" customHeight="1">
      <c r="A510" s="22">
        <v>43817</v>
      </c>
      <c r="B510" s="22"/>
      <c r="C510" s="27">
        <f>ROUND(6.9,3)</f>
        <v>6.9</v>
      </c>
      <c r="D510" s="27">
        <f>ROUND(7.05,3)</f>
        <v>7.05</v>
      </c>
      <c r="E510" s="27">
        <f>ROUND(6.95,3)</f>
        <v>6.95</v>
      </c>
      <c r="F510" s="27">
        <f>ROUND(7,3)</f>
        <v>7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43314</v>
      </c>
      <c r="B512" s="22"/>
      <c r="C512" s="27">
        <f>ROUND(612.675,3)</f>
        <v>612.675</v>
      </c>
      <c r="D512" s="27">
        <f>F512</f>
        <v>621.286</v>
      </c>
      <c r="E512" s="27">
        <f>F512</f>
        <v>621.286</v>
      </c>
      <c r="F512" s="27">
        <f>ROUND(621.286,3)</f>
        <v>621.286</v>
      </c>
      <c r="G512" s="24"/>
      <c r="H512" s="35"/>
    </row>
    <row r="513" spans="1:8" ht="12.75" customHeight="1">
      <c r="A513" s="22">
        <v>43405</v>
      </c>
      <c r="B513" s="22"/>
      <c r="C513" s="27">
        <f>ROUND(612.675,3)</f>
        <v>612.675</v>
      </c>
      <c r="D513" s="27">
        <f>F513</f>
        <v>632.42</v>
      </c>
      <c r="E513" s="27">
        <f>F513</f>
        <v>632.42</v>
      </c>
      <c r="F513" s="27">
        <f>ROUND(632.42,3)</f>
        <v>632.42</v>
      </c>
      <c r="G513" s="24"/>
      <c r="H513" s="35"/>
    </row>
    <row r="514" spans="1:8" ht="12.75" customHeight="1">
      <c r="A514" s="22">
        <v>43503</v>
      </c>
      <c r="B514" s="22"/>
      <c r="C514" s="27">
        <f>ROUND(612.675,3)</f>
        <v>612.675</v>
      </c>
      <c r="D514" s="27">
        <f>F514</f>
        <v>644.694</v>
      </c>
      <c r="E514" s="27">
        <f>F514</f>
        <v>644.694</v>
      </c>
      <c r="F514" s="27">
        <f>ROUND(644.694,3)</f>
        <v>644.694</v>
      </c>
      <c r="G514" s="24"/>
      <c r="H514" s="35"/>
    </row>
    <row r="515" spans="1:8" ht="12.75" customHeight="1">
      <c r="A515" s="22">
        <v>43587</v>
      </c>
      <c r="B515" s="22"/>
      <c r="C515" s="27">
        <f>ROUND(612.675,3)</f>
        <v>612.675</v>
      </c>
      <c r="D515" s="27">
        <f>F515</f>
        <v>655.702</v>
      </c>
      <c r="E515" s="27">
        <f>F515</f>
        <v>655.702</v>
      </c>
      <c r="F515" s="27">
        <f>ROUND(655.702,3)</f>
        <v>655.702</v>
      </c>
      <c r="G515" s="24"/>
      <c r="H515" s="35"/>
    </row>
    <row r="516" spans="1:8" ht="12.75" customHeight="1">
      <c r="A516" s="22" t="s">
        <v>12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43546</v>
      </c>
      <c r="B517" s="22"/>
      <c r="C517" s="24">
        <f>ROUND(100.190332865468,2)</f>
        <v>100.19</v>
      </c>
      <c r="D517" s="24">
        <f>F517</f>
        <v>99.5</v>
      </c>
      <c r="E517" s="24">
        <f>F517</f>
        <v>99.5</v>
      </c>
      <c r="F517" s="24">
        <f>ROUND(99.5033652235404,2)</f>
        <v>99.5</v>
      </c>
      <c r="G517" s="24"/>
      <c r="H517" s="35"/>
    </row>
    <row r="518" spans="1:8" ht="12.75" customHeight="1">
      <c r="A518" s="22" t="s">
        <v>13</v>
      </c>
      <c r="B518" s="22"/>
      <c r="C518" s="23"/>
      <c r="D518" s="23"/>
      <c r="E518" s="23"/>
      <c r="F518" s="23"/>
      <c r="G518" s="24"/>
      <c r="H518" s="35"/>
    </row>
    <row r="519" spans="1:8" ht="12.75" customHeight="1">
      <c r="A519" s="22">
        <v>43913</v>
      </c>
      <c r="B519" s="22"/>
      <c r="C519" s="24">
        <f>ROUND(100.563712432429,2)</f>
        <v>100.56</v>
      </c>
      <c r="D519" s="24">
        <f>F519</f>
        <v>98.7</v>
      </c>
      <c r="E519" s="24">
        <f>F519</f>
        <v>98.7</v>
      </c>
      <c r="F519" s="24">
        <f>ROUND(98.700670616467,2)</f>
        <v>98.7</v>
      </c>
      <c r="G519" s="24"/>
      <c r="H519" s="35"/>
    </row>
    <row r="520" spans="1:8" ht="12.75" customHeight="1">
      <c r="A520" s="22" t="s">
        <v>14</v>
      </c>
      <c r="B520" s="22"/>
      <c r="C520" s="23"/>
      <c r="D520" s="23"/>
      <c r="E520" s="23"/>
      <c r="F520" s="23"/>
      <c r="G520" s="24"/>
      <c r="H520" s="35"/>
    </row>
    <row r="521" spans="1:8" ht="12.75" customHeight="1">
      <c r="A521" s="22">
        <v>45007</v>
      </c>
      <c r="B521" s="22"/>
      <c r="C521" s="24">
        <f>ROUND(101.12060984234,2)</f>
        <v>101.12</v>
      </c>
      <c r="D521" s="24">
        <f>F521</f>
        <v>96.81</v>
      </c>
      <c r="E521" s="24">
        <f>F521</f>
        <v>96.81</v>
      </c>
      <c r="F521" s="24">
        <f>ROUND(96.8083995970021,2)</f>
        <v>96.81</v>
      </c>
      <c r="G521" s="24"/>
      <c r="H521" s="35"/>
    </row>
    <row r="522" spans="1:8" ht="12.75" customHeight="1">
      <c r="A522" s="22" t="s">
        <v>15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46834</v>
      </c>
      <c r="B523" s="22"/>
      <c r="C523" s="24">
        <f>ROUND(101.796490631386,2)</f>
        <v>101.8</v>
      </c>
      <c r="D523" s="24">
        <f>F523</f>
        <v>96.36</v>
      </c>
      <c r="E523" s="24">
        <f>F523</f>
        <v>96.36</v>
      </c>
      <c r="F523" s="24">
        <f>ROUND(96.3557078827459,2)</f>
        <v>96.36</v>
      </c>
      <c r="G523" s="24"/>
      <c r="H523" s="35"/>
    </row>
    <row r="524" spans="1:8" ht="12.75" customHeight="1">
      <c r="A524" s="22" t="s">
        <v>95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43272</v>
      </c>
      <c r="B525" s="22"/>
      <c r="C525" s="26">
        <f>ROUND(100.190332865468,5)</f>
        <v>100.19033</v>
      </c>
      <c r="D525" s="26">
        <f>F525</f>
        <v>99.90716</v>
      </c>
      <c r="E525" s="26">
        <f>F525</f>
        <v>99.90716</v>
      </c>
      <c r="F525" s="26">
        <f>ROUND(99.907161879875,5)</f>
        <v>99.90716</v>
      </c>
      <c r="G525" s="24"/>
      <c r="H525" s="35"/>
    </row>
    <row r="526" spans="1:8" ht="12.75" customHeight="1">
      <c r="A526" s="22" t="s">
        <v>96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43363</v>
      </c>
      <c r="B527" s="22"/>
      <c r="C527" s="26">
        <f>ROUND(100.190332865468,5)</f>
        <v>100.19033</v>
      </c>
      <c r="D527" s="26">
        <f>F527</f>
        <v>100.03917</v>
      </c>
      <c r="E527" s="26">
        <f>F527</f>
        <v>100.03917</v>
      </c>
      <c r="F527" s="26">
        <f>ROUND(100.039166794117,5)</f>
        <v>100.03917</v>
      </c>
      <c r="G527" s="24"/>
      <c r="H527" s="35"/>
    </row>
    <row r="528" spans="1:8" ht="12.75" customHeight="1">
      <c r="A528" s="22" t="s">
        <v>97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43636</v>
      </c>
      <c r="B529" s="22"/>
      <c r="C529" s="24">
        <f>ROUND(100.190332865468,2)</f>
        <v>100.19</v>
      </c>
      <c r="D529" s="24">
        <f>F529</f>
        <v>100.19</v>
      </c>
      <c r="E529" s="24">
        <f>F529</f>
        <v>100.19</v>
      </c>
      <c r="F529" s="24">
        <f>ROUND(100.190332865468,2)</f>
        <v>100.19</v>
      </c>
      <c r="G529" s="24"/>
      <c r="H529" s="35"/>
    </row>
    <row r="530" spans="1:8" ht="12.75" customHeight="1">
      <c r="A530" s="22" t="s">
        <v>98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43266</v>
      </c>
      <c r="B531" s="22"/>
      <c r="C531" s="26">
        <f>ROUND(100.563712432429,5)</f>
        <v>100.56371</v>
      </c>
      <c r="D531" s="26">
        <f>F531</f>
        <v>98.59317</v>
      </c>
      <c r="E531" s="26">
        <f>F531</f>
        <v>98.59317</v>
      </c>
      <c r="F531" s="26">
        <f>ROUND(98.5931735301463,5)</f>
        <v>98.59317</v>
      </c>
      <c r="G531" s="24"/>
      <c r="H531" s="35"/>
    </row>
    <row r="532" spans="1:8" ht="12.75" customHeight="1">
      <c r="A532" s="22" t="s">
        <v>99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43364</v>
      </c>
      <c r="B533" s="22"/>
      <c r="C533" s="26">
        <f>ROUND(100.563712432429,5)</f>
        <v>100.56371</v>
      </c>
      <c r="D533" s="26">
        <f>F533</f>
        <v>98.50928</v>
      </c>
      <c r="E533" s="26">
        <f>F533</f>
        <v>98.50928</v>
      </c>
      <c r="F533" s="26">
        <f>ROUND(98.5092802684228,5)</f>
        <v>98.50928</v>
      </c>
      <c r="G533" s="24"/>
      <c r="H533" s="35"/>
    </row>
    <row r="534" spans="1:8" ht="12.75" customHeight="1">
      <c r="A534" s="22" t="s">
        <v>100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43455</v>
      </c>
      <c r="B535" s="22"/>
      <c r="C535" s="24">
        <f>ROUND(100.563712432429,2)</f>
        <v>100.56</v>
      </c>
      <c r="D535" s="24">
        <f>F535</f>
        <v>98.87</v>
      </c>
      <c r="E535" s="24">
        <f>F535</f>
        <v>98.87</v>
      </c>
      <c r="F535" s="24">
        <f>ROUND(98.8742889569252,2)</f>
        <v>98.87</v>
      </c>
      <c r="G535" s="24"/>
      <c r="H535" s="35"/>
    </row>
    <row r="536" spans="1:8" ht="12.75" customHeight="1">
      <c r="A536" s="22" t="s">
        <v>101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43539</v>
      </c>
      <c r="B537" s="22"/>
      <c r="C537" s="26">
        <f>ROUND(100.563712432429,5)</f>
        <v>100.56371</v>
      </c>
      <c r="D537" s="26">
        <f>F537</f>
        <v>99.2498</v>
      </c>
      <c r="E537" s="26">
        <f>F537</f>
        <v>99.2498</v>
      </c>
      <c r="F537" s="26">
        <f>ROUND(99.2498024602843,5)</f>
        <v>99.2498</v>
      </c>
      <c r="G537" s="24"/>
      <c r="H537" s="35"/>
    </row>
    <row r="538" spans="1:8" ht="12.75" customHeight="1">
      <c r="A538" s="22" t="s">
        <v>102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43637</v>
      </c>
      <c r="B539" s="22"/>
      <c r="C539" s="26">
        <f>ROUND(100.563712432429,5)</f>
        <v>100.56371</v>
      </c>
      <c r="D539" s="26">
        <f>F539</f>
        <v>99.64187</v>
      </c>
      <c r="E539" s="26">
        <f>F539</f>
        <v>99.64187</v>
      </c>
      <c r="F539" s="26">
        <f>ROUND(99.6418723243816,5)</f>
        <v>99.64187</v>
      </c>
      <c r="G539" s="24"/>
      <c r="H539" s="35"/>
    </row>
    <row r="540" spans="1:8" ht="12.75" customHeight="1">
      <c r="A540" s="22" t="s">
        <v>103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43728</v>
      </c>
      <c r="B541" s="22"/>
      <c r="C541" s="26">
        <f>ROUND(100.563712432429,5)</f>
        <v>100.56371</v>
      </c>
      <c r="D541" s="26">
        <f>F541</f>
        <v>100.02514</v>
      </c>
      <c r="E541" s="26">
        <f>F541</f>
        <v>100.02514</v>
      </c>
      <c r="F541" s="26">
        <f>ROUND(100.02513710696,5)</f>
        <v>100.02514</v>
      </c>
      <c r="G541" s="24"/>
      <c r="H541" s="35"/>
    </row>
    <row r="542" spans="1:8" ht="12.75" customHeight="1">
      <c r="A542" s="22" t="s">
        <v>104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44004</v>
      </c>
      <c r="B543" s="22"/>
      <c r="C543" s="24">
        <f>ROUND(100.563712432429,2)</f>
        <v>100.56</v>
      </c>
      <c r="D543" s="24">
        <f>F543</f>
        <v>100.56</v>
      </c>
      <c r="E543" s="24">
        <f>F543</f>
        <v>100.56</v>
      </c>
      <c r="F543" s="24">
        <f>ROUND(100.563712432429,2)</f>
        <v>100.56</v>
      </c>
      <c r="G543" s="24"/>
      <c r="H543" s="35"/>
    </row>
    <row r="544" spans="1:8" ht="12.75" customHeight="1">
      <c r="A544" s="22" t="s">
        <v>105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44182</v>
      </c>
      <c r="B545" s="22"/>
      <c r="C545" s="26">
        <f>ROUND(101.12060984234,5)</f>
        <v>101.12061</v>
      </c>
      <c r="D545" s="26">
        <f>F545</f>
        <v>96.12591</v>
      </c>
      <c r="E545" s="26">
        <f>F545</f>
        <v>96.12591</v>
      </c>
      <c r="F545" s="26">
        <f>ROUND(96.1259068063303,5)</f>
        <v>96.12591</v>
      </c>
      <c r="G545" s="24"/>
      <c r="H545" s="35"/>
    </row>
    <row r="546" spans="1:8" ht="12.75" customHeight="1">
      <c r="A546" s="22" t="s">
        <v>106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44271</v>
      </c>
      <c r="B547" s="22"/>
      <c r="C547" s="26">
        <f>ROUND(101.12060984234,5)</f>
        <v>101.12061</v>
      </c>
      <c r="D547" s="26">
        <f>F547</f>
        <v>95.3369</v>
      </c>
      <c r="E547" s="26">
        <f>F547</f>
        <v>95.3369</v>
      </c>
      <c r="F547" s="26">
        <f>ROUND(95.3368956410571,5)</f>
        <v>95.3369</v>
      </c>
      <c r="G547" s="24"/>
      <c r="H547" s="35"/>
    </row>
    <row r="548" spans="1:8" ht="12.75" customHeight="1">
      <c r="A548" s="22" t="s">
        <v>107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44362</v>
      </c>
      <c r="B549" s="22"/>
      <c r="C549" s="26">
        <f>ROUND(101.12060984234,5)</f>
        <v>101.12061</v>
      </c>
      <c r="D549" s="26">
        <f>F549</f>
        <v>94.51962</v>
      </c>
      <c r="E549" s="26">
        <f>F549</f>
        <v>94.51962</v>
      </c>
      <c r="F549" s="26">
        <f>ROUND(94.519623256786,5)</f>
        <v>94.51962</v>
      </c>
      <c r="G549" s="24"/>
      <c r="H549" s="35"/>
    </row>
    <row r="550" spans="1:8" ht="12.75" customHeight="1">
      <c r="A550" s="22" t="s">
        <v>108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44460</v>
      </c>
      <c r="B551" s="22"/>
      <c r="C551" s="26">
        <f>ROUND(101.12060984234,5)</f>
        <v>101.12061</v>
      </c>
      <c r="D551" s="26">
        <f>F551</f>
        <v>94.6992</v>
      </c>
      <c r="E551" s="26">
        <f>F551</f>
        <v>94.6992</v>
      </c>
      <c r="F551" s="26">
        <f>ROUND(94.6991956809933,5)</f>
        <v>94.6992</v>
      </c>
      <c r="G551" s="24"/>
      <c r="H551" s="35"/>
    </row>
    <row r="552" spans="1:8" ht="12.75" customHeight="1">
      <c r="A552" s="22" t="s">
        <v>109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44551</v>
      </c>
      <c r="B553" s="22"/>
      <c r="C553" s="26">
        <f>ROUND(101.12060984234,5)</f>
        <v>101.12061</v>
      </c>
      <c r="D553" s="26">
        <f>F553</f>
        <v>96.9027</v>
      </c>
      <c r="E553" s="26">
        <f>F553</f>
        <v>96.9027</v>
      </c>
      <c r="F553" s="26">
        <f>ROUND(96.9027027454117,5)</f>
        <v>96.9027</v>
      </c>
      <c r="G553" s="24"/>
      <c r="H553" s="35"/>
    </row>
    <row r="554" spans="1:8" ht="12.75" customHeight="1">
      <c r="A554" s="22" t="s">
        <v>110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44635</v>
      </c>
      <c r="B555" s="22"/>
      <c r="C555" s="26">
        <f>ROUND(101.12060984234,5)</f>
        <v>101.12061</v>
      </c>
      <c r="D555" s="26">
        <f>F555</f>
        <v>97.04099</v>
      </c>
      <c r="E555" s="26">
        <f>F555</f>
        <v>97.04099</v>
      </c>
      <c r="F555" s="26">
        <f>ROUND(97.0409866417738,5)</f>
        <v>97.04099</v>
      </c>
      <c r="G555" s="24"/>
      <c r="H555" s="35"/>
    </row>
    <row r="556" spans="1:8" ht="12.75" customHeight="1">
      <c r="A556" s="22" t="s">
        <v>111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44733</v>
      </c>
      <c r="B557" s="22"/>
      <c r="C557" s="26">
        <f>ROUND(101.12060984234,5)</f>
        <v>101.12061</v>
      </c>
      <c r="D557" s="26">
        <f>F557</f>
        <v>98.24362</v>
      </c>
      <c r="E557" s="26">
        <f>F557</f>
        <v>98.24362</v>
      </c>
      <c r="F557" s="26">
        <f>ROUND(98.2436238669534,5)</f>
        <v>98.24362</v>
      </c>
      <c r="G557" s="24"/>
      <c r="H557" s="35"/>
    </row>
    <row r="558" spans="1:8" ht="12.75" customHeight="1">
      <c r="A558" s="22" t="s">
        <v>112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44824</v>
      </c>
      <c r="B559" s="22"/>
      <c r="C559" s="26">
        <f>ROUND(101.12060984234,5)</f>
        <v>101.12061</v>
      </c>
      <c r="D559" s="26">
        <f>F559</f>
        <v>100.44921</v>
      </c>
      <c r="E559" s="26">
        <f>F559</f>
        <v>100.44921</v>
      </c>
      <c r="F559" s="26">
        <f>ROUND(100.44920595979,5)</f>
        <v>100.44921</v>
      </c>
      <c r="G559" s="24"/>
      <c r="H559" s="35"/>
    </row>
    <row r="560" spans="1:8" ht="12.75" customHeight="1">
      <c r="A560" s="22" t="s">
        <v>113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45097</v>
      </c>
      <c r="B561" s="22"/>
      <c r="C561" s="24">
        <f>ROUND(101.12060984234,2)</f>
        <v>101.12</v>
      </c>
      <c r="D561" s="24">
        <f>F561</f>
        <v>101.12</v>
      </c>
      <c r="E561" s="24">
        <f>F561</f>
        <v>101.12</v>
      </c>
      <c r="F561" s="24">
        <f>ROUND(101.12060984234,2)</f>
        <v>101.12</v>
      </c>
      <c r="G561" s="24"/>
      <c r="H561" s="35"/>
    </row>
    <row r="562" spans="1:8" ht="12.75" customHeight="1">
      <c r="A562" s="22" t="s">
        <v>114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46008</v>
      </c>
      <c r="B563" s="22"/>
      <c r="C563" s="26">
        <f>ROUND(101.796490631386,5)</f>
        <v>101.79649</v>
      </c>
      <c r="D563" s="26">
        <f>F563</f>
        <v>94.88525</v>
      </c>
      <c r="E563" s="26">
        <f>F563</f>
        <v>94.88525</v>
      </c>
      <c r="F563" s="26">
        <f>ROUND(94.8852544418615,5)</f>
        <v>94.88525</v>
      </c>
      <c r="G563" s="24"/>
      <c r="H563" s="35"/>
    </row>
    <row r="564" spans="1:8" ht="12.75" customHeight="1">
      <c r="A564" s="22" t="s">
        <v>115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46097</v>
      </c>
      <c r="B565" s="22"/>
      <c r="C565" s="26">
        <f>ROUND(101.796490631386,5)</f>
        <v>101.79649</v>
      </c>
      <c r="D565" s="26">
        <f>F565</f>
        <v>91.88559</v>
      </c>
      <c r="E565" s="26">
        <f>F565</f>
        <v>91.88559</v>
      </c>
      <c r="F565" s="26">
        <f>ROUND(91.8855906376301,5)</f>
        <v>91.88559</v>
      </c>
      <c r="G565" s="24"/>
      <c r="H565" s="35"/>
    </row>
    <row r="566" spans="1:8" ht="12.75" customHeight="1">
      <c r="A566" s="22" t="s">
        <v>116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46188</v>
      </c>
      <c r="B567" s="22"/>
      <c r="C567" s="26">
        <f>ROUND(101.796490631386,5)</f>
        <v>101.79649</v>
      </c>
      <c r="D567" s="26">
        <f>F567</f>
        <v>90.61205</v>
      </c>
      <c r="E567" s="26">
        <f>F567</f>
        <v>90.61205</v>
      </c>
      <c r="F567" s="26">
        <f>ROUND(90.6120523809399,5)</f>
        <v>90.61205</v>
      </c>
      <c r="G567" s="24"/>
      <c r="H567" s="35"/>
    </row>
    <row r="568" spans="1:8" ht="12.75" customHeight="1">
      <c r="A568" s="22" t="s">
        <v>117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46286</v>
      </c>
      <c r="B569" s="22"/>
      <c r="C569" s="26">
        <f>ROUND(101.796490631386,5)</f>
        <v>101.79649</v>
      </c>
      <c r="D569" s="26">
        <f>F569</f>
        <v>92.74729</v>
      </c>
      <c r="E569" s="26">
        <f>F569</f>
        <v>92.74729</v>
      </c>
      <c r="F569" s="26">
        <f>ROUND(92.7472917217622,5)</f>
        <v>92.74729</v>
      </c>
      <c r="G569" s="24"/>
      <c r="H569" s="35"/>
    </row>
    <row r="570" spans="1:8" ht="12.75" customHeight="1">
      <c r="A570" s="22" t="s">
        <v>118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46377</v>
      </c>
      <c r="B571" s="22"/>
      <c r="C571" s="26">
        <f>ROUND(101.796490631386,5)</f>
        <v>101.79649</v>
      </c>
      <c r="D571" s="26">
        <f>F571</f>
        <v>96.50068</v>
      </c>
      <c r="E571" s="26">
        <f>F571</f>
        <v>96.50068</v>
      </c>
      <c r="F571" s="26">
        <f>ROUND(96.5006788904859,5)</f>
        <v>96.50068</v>
      </c>
      <c r="G571" s="24"/>
      <c r="H571" s="35"/>
    </row>
    <row r="572" spans="1:8" ht="12.75" customHeight="1">
      <c r="A572" s="22" t="s">
        <v>119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46461</v>
      </c>
      <c r="B573" s="22"/>
      <c r="C573" s="26">
        <f>ROUND(101.796490631386,5)</f>
        <v>101.79649</v>
      </c>
      <c r="D573" s="26">
        <f>F573</f>
        <v>95.03451</v>
      </c>
      <c r="E573" s="26">
        <f>F573</f>
        <v>95.03451</v>
      </c>
      <c r="F573" s="26">
        <f>ROUND(95.0345051833623,5)</f>
        <v>95.03451</v>
      </c>
      <c r="G573" s="24"/>
      <c r="H573" s="35"/>
    </row>
    <row r="574" spans="1:8" ht="12.75" customHeight="1">
      <c r="A574" s="22" t="s">
        <v>120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46559</v>
      </c>
      <c r="B575" s="22"/>
      <c r="C575" s="26">
        <f>ROUND(101.796490631386,5)</f>
        <v>101.79649</v>
      </c>
      <c r="D575" s="26">
        <f>F575</f>
        <v>97.08348</v>
      </c>
      <c r="E575" s="26">
        <f>F575</f>
        <v>97.08348</v>
      </c>
      <c r="F575" s="26">
        <f>ROUND(97.0834777494749,5)</f>
        <v>97.08348</v>
      </c>
      <c r="G575" s="24"/>
      <c r="H575" s="35"/>
    </row>
    <row r="576" spans="1:8" ht="12.75" customHeight="1">
      <c r="A576" s="22" t="s">
        <v>121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46650</v>
      </c>
      <c r="B577" s="22"/>
      <c r="C577" s="26">
        <f>ROUND(101.796490631386,5)</f>
        <v>101.79649</v>
      </c>
      <c r="D577" s="26">
        <f>F577</f>
        <v>100.78902</v>
      </c>
      <c r="E577" s="26">
        <f>F577</f>
        <v>100.78902</v>
      </c>
      <c r="F577" s="26">
        <f>ROUND(100.789019324143,5)</f>
        <v>100.78902</v>
      </c>
      <c r="G577" s="24"/>
      <c r="H577" s="35"/>
    </row>
    <row r="578" spans="1:8" ht="12.75" customHeight="1">
      <c r="A578" s="22" t="s">
        <v>122</v>
      </c>
      <c r="B578" s="22"/>
      <c r="C578" s="23"/>
      <c r="D578" s="23"/>
      <c r="E578" s="23"/>
      <c r="F578" s="23"/>
      <c r="G578" s="24"/>
      <c r="H578" s="35"/>
    </row>
    <row r="579" spans="1:8" ht="12.75" customHeight="1" thickBot="1">
      <c r="A579" s="32">
        <v>46924</v>
      </c>
      <c r="B579" s="32"/>
      <c r="C579" s="33">
        <f>ROUND(101.796490631386,2)</f>
        <v>101.8</v>
      </c>
      <c r="D579" s="33">
        <f>F579</f>
        <v>101.8</v>
      </c>
      <c r="E579" s="33">
        <f>F579</f>
        <v>101.8</v>
      </c>
      <c r="F579" s="33">
        <f>ROUND(101.796490631386,2)</f>
        <v>101.8</v>
      </c>
      <c r="G579" s="33"/>
      <c r="H579" s="36"/>
    </row>
  </sheetData>
  <sheetProtection/>
  <mergeCells count="578"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2018-05-22T15:47:06Z</dcterms:modified>
  <cp:category/>
  <cp:version/>
  <cp:contentType/>
  <cp:contentStatus/>
</cp:coreProperties>
</file>