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'Jerry'!$A$1:$H$601</definedName>
  </definedNames>
  <calcPr fullCalcOnLoad="1"/>
</workbook>
</file>

<file path=xl/sharedStrings.xml><?xml version="1.0" encoding="utf-8"?>
<sst xmlns="http://schemas.openxmlformats.org/spreadsheetml/2006/main" count="124" uniqueCount="120">
  <si>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</si>
  <si>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</si>
  <si>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</si>
  <si>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</si>
  <si>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</si>
  <si>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</si>
  <si>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</si>
  <si>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</si>
  <si>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</si>
  <si>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</si>
  <si>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</si>
  <si>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</si>
  <si>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Long Barrier Up and In Call ZAUS  (CAHF)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</si>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</sst>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197" fontId="6" fillId="0" borderId="25" xfId="0" applyNumberFormat="1" applyFont="1" applyFill="1" applyBorder="1" applyAlignment="1" applyProtection="1">
      <alignment horizontal="center"/>
      <protection locked="0"/>
    </xf>
    <xf numFmtId="193" fontId="6" fillId="0" borderId="25" xfId="0" applyNumberFormat="1" applyFont="1" applyFill="1" applyBorder="1" applyAlignment="1" applyProtection="1">
      <alignment horizontal="center"/>
      <protection locked="0"/>
    </xf>
    <xf numFmtId="194" fontId="6" fillId="0" borderId="25" xfId="0" applyNumberFormat="1" applyFont="1" applyFill="1" applyBorder="1" applyAlignment="1" applyProtection="1">
      <alignment horizontal="center"/>
      <protection locked="0"/>
    </xf>
    <xf numFmtId="199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0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43490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7">
        <v>43542</v>
      </c>
      <c r="B6" s="28"/>
      <c r="C6" s="26">
        <f>ROUND(4.6419,2)</f>
        <v>4.64</v>
      </c>
      <c r="D6" s="26">
        <f>F6</f>
        <v>4.69</v>
      </c>
      <c r="E6" s="26">
        <f>F6</f>
        <v>4.69</v>
      </c>
      <c r="F6" s="26">
        <f>ROUND(4.6881,2)</f>
        <v>4.69</v>
      </c>
      <c r="G6" s="26"/>
      <c r="H6" s="42"/>
    </row>
    <row r="7" spans="1:8" ht="12.75" customHeight="1">
      <c r="A7" s="27" t="s">
        <v>13</v>
      </c>
      <c r="B7" s="28"/>
      <c r="C7" s="29"/>
      <c r="D7" s="29"/>
      <c r="E7" s="29"/>
      <c r="F7" s="29"/>
      <c r="G7" s="26"/>
      <c r="H7" s="42"/>
    </row>
    <row r="8" spans="1:8" ht="12.75" customHeight="1">
      <c r="A8" s="27">
        <v>43546</v>
      </c>
      <c r="B8" s="28"/>
      <c r="C8" s="26">
        <f>ROUND(99.8678732209497,2)</f>
        <v>99.87</v>
      </c>
      <c r="D8" s="26">
        <f>F8</f>
        <v>99.58</v>
      </c>
      <c r="E8" s="26">
        <f>F8</f>
        <v>99.58</v>
      </c>
      <c r="F8" s="26">
        <f>ROUND(99.5763315658631,2)</f>
        <v>99.58</v>
      </c>
      <c r="G8" s="26"/>
      <c r="H8" s="42"/>
    </row>
    <row r="9" spans="1:8" ht="12.75" customHeight="1">
      <c r="A9" s="27">
        <v>43636</v>
      </c>
      <c r="B9" s="28"/>
      <c r="C9" s="26">
        <f>ROUND(99.8678732209497,2)</f>
        <v>99.87</v>
      </c>
      <c r="D9" s="26">
        <f>F9</f>
        <v>102.01</v>
      </c>
      <c r="E9" s="26">
        <f>F9</f>
        <v>102.01</v>
      </c>
      <c r="F9" s="26">
        <f>ROUND(102.007123542049,2)</f>
        <v>102.01</v>
      </c>
      <c r="G9" s="26"/>
      <c r="H9" s="42"/>
    </row>
    <row r="10" spans="1:8" ht="12.75" customHeight="1">
      <c r="A10" s="27">
        <v>43727</v>
      </c>
      <c r="B10" s="28"/>
      <c r="C10" s="26">
        <f>ROUND(99.8678732209497,2)</f>
        <v>99.87</v>
      </c>
      <c r="D10" s="26">
        <f>F10</f>
        <v>99.87</v>
      </c>
      <c r="E10" s="26">
        <f>F10</f>
        <v>99.87</v>
      </c>
      <c r="F10" s="26">
        <f>ROUND(99.8678732209497,2)</f>
        <v>99.87</v>
      </c>
      <c r="G10" s="26"/>
      <c r="H10" s="42"/>
    </row>
    <row r="11" spans="1:8" ht="12.75" customHeight="1">
      <c r="A11" s="27" t="s">
        <v>14</v>
      </c>
      <c r="B11" s="28"/>
      <c r="C11" s="29"/>
      <c r="D11" s="29"/>
      <c r="E11" s="29"/>
      <c r="F11" s="29"/>
      <c r="G11" s="26"/>
      <c r="H11" s="42"/>
    </row>
    <row r="12" spans="1:8" ht="12.75" customHeight="1">
      <c r="A12" s="27">
        <v>43539</v>
      </c>
      <c r="B12" s="28"/>
      <c r="C12" s="26">
        <f>ROUND(99.3436870741416,2)</f>
        <v>99.34</v>
      </c>
      <c r="D12" s="26">
        <f>F12</f>
        <v>99.33</v>
      </c>
      <c r="E12" s="26">
        <f>F12</f>
        <v>99.33</v>
      </c>
      <c r="F12" s="26">
        <f>ROUND(99.3293050274993,2)</f>
        <v>99.33</v>
      </c>
      <c r="G12" s="26"/>
      <c r="H12" s="42"/>
    </row>
    <row r="13" spans="1:8" ht="12.75" customHeight="1">
      <c r="A13" s="27">
        <v>43637</v>
      </c>
      <c r="B13" s="28"/>
      <c r="C13" s="26">
        <f>ROUND(99.3436870741416,2)</f>
        <v>99.34</v>
      </c>
      <c r="D13" s="26">
        <f>F13</f>
        <v>99.73</v>
      </c>
      <c r="E13" s="26">
        <f>F13</f>
        <v>99.73</v>
      </c>
      <c r="F13" s="26">
        <f>ROUND(99.7349144778144,2)</f>
        <v>99.73</v>
      </c>
      <c r="G13" s="26"/>
      <c r="H13" s="42"/>
    </row>
    <row r="14" spans="1:8" ht="12.75" customHeight="1">
      <c r="A14" s="27">
        <v>43728</v>
      </c>
      <c r="B14" s="28"/>
      <c r="C14" s="26">
        <f>ROUND(99.3436870741416,2)</f>
        <v>99.34</v>
      </c>
      <c r="D14" s="26">
        <f>F14</f>
        <v>101.87</v>
      </c>
      <c r="E14" s="26">
        <f>F14</f>
        <v>101.87</v>
      </c>
      <c r="F14" s="26">
        <f>ROUND(101.866235733753,2)</f>
        <v>101.87</v>
      </c>
      <c r="G14" s="26"/>
      <c r="H14" s="42"/>
    </row>
    <row r="15" spans="1:8" ht="12.75" customHeight="1">
      <c r="A15" s="27">
        <v>43819</v>
      </c>
      <c r="B15" s="28"/>
      <c r="C15" s="26">
        <f>ROUND(99.3436870741416,2)</f>
        <v>99.34</v>
      </c>
      <c r="D15" s="26">
        <f>F15</f>
        <v>102.81</v>
      </c>
      <c r="E15" s="26">
        <f>F15</f>
        <v>102.81</v>
      </c>
      <c r="F15" s="26">
        <f>ROUND(102.810818537582,2)</f>
        <v>102.81</v>
      </c>
      <c r="G15" s="26"/>
      <c r="H15" s="42"/>
    </row>
    <row r="16" spans="1:8" ht="12.75" customHeight="1">
      <c r="A16" s="27">
        <v>43913</v>
      </c>
      <c r="B16" s="28"/>
      <c r="C16" s="26">
        <f>ROUND(99.3436870741416,2)</f>
        <v>99.34</v>
      </c>
      <c r="D16" s="26">
        <f>F16</f>
        <v>98.82</v>
      </c>
      <c r="E16" s="26">
        <f>F16</f>
        <v>98.82</v>
      </c>
      <c r="F16" s="26">
        <f>ROUND(98.820024323948,2)</f>
        <v>98.82</v>
      </c>
      <c r="G16" s="26"/>
      <c r="H16" s="42"/>
    </row>
    <row r="17" spans="1:8" ht="12.75" customHeight="1">
      <c r="A17" s="27">
        <v>44004</v>
      </c>
      <c r="B17" s="28"/>
      <c r="C17" s="26">
        <f>ROUND(99.3436870741416,2)</f>
        <v>99.34</v>
      </c>
      <c r="D17" s="26">
        <f>F17</f>
        <v>102.38</v>
      </c>
      <c r="E17" s="26">
        <f>F17</f>
        <v>102.38</v>
      </c>
      <c r="F17" s="26">
        <f>ROUND(102.3771077635,2)</f>
        <v>102.38</v>
      </c>
      <c r="G17" s="26"/>
      <c r="H17" s="42"/>
    </row>
    <row r="18" spans="1:8" ht="12.75" customHeight="1">
      <c r="A18" s="27">
        <v>44095</v>
      </c>
      <c r="B18" s="28"/>
      <c r="C18" s="26">
        <f>ROUND(99.3436870741416,2)</f>
        <v>99.34</v>
      </c>
      <c r="D18" s="26">
        <f>F18</f>
        <v>99.34</v>
      </c>
      <c r="E18" s="26">
        <f>F18</f>
        <v>99.34</v>
      </c>
      <c r="F18" s="26">
        <f>ROUND(99.3436870741416,2)</f>
        <v>99.34</v>
      </c>
      <c r="G18" s="26"/>
      <c r="H18" s="42"/>
    </row>
    <row r="19" spans="1:8" ht="12.75" customHeight="1">
      <c r="A19" s="27" t="s">
        <v>15</v>
      </c>
      <c r="B19" s="28"/>
      <c r="C19" s="29"/>
      <c r="D19" s="29"/>
      <c r="E19" s="29"/>
      <c r="F19" s="29"/>
      <c r="G19" s="26"/>
      <c r="H19" s="42"/>
    </row>
    <row r="20" spans="1:8" ht="12.75" customHeight="1">
      <c r="A20" s="27">
        <v>44182</v>
      </c>
      <c r="B20" s="28"/>
      <c r="C20" s="26">
        <f>ROUND(97.6474120475534,2)</f>
        <v>97.65</v>
      </c>
      <c r="D20" s="26">
        <f>F20</f>
        <v>96.14</v>
      </c>
      <c r="E20" s="26">
        <f>F20</f>
        <v>96.14</v>
      </c>
      <c r="F20" s="26">
        <f>ROUND(96.136062731648,2)</f>
        <v>96.14</v>
      </c>
      <c r="G20" s="26"/>
      <c r="H20" s="42"/>
    </row>
    <row r="21" spans="1:8" ht="12.75" customHeight="1">
      <c r="A21" s="27">
        <v>44271</v>
      </c>
      <c r="B21" s="28"/>
      <c r="C21" s="26">
        <f>ROUND(97.6474120475534,2)</f>
        <v>97.65</v>
      </c>
      <c r="D21" s="26">
        <f>F21</f>
        <v>95.31</v>
      </c>
      <c r="E21" s="26">
        <f>F21</f>
        <v>95.31</v>
      </c>
      <c r="F21" s="26">
        <f>ROUND(95.3072838467709,2)</f>
        <v>95.31</v>
      </c>
      <c r="G21" s="26"/>
      <c r="H21" s="42"/>
    </row>
    <row r="22" spans="1:8" ht="12.75" customHeight="1">
      <c r="A22" s="27">
        <v>44362</v>
      </c>
      <c r="B22" s="28"/>
      <c r="C22" s="26">
        <f>ROUND(97.6474120475534,2)</f>
        <v>97.65</v>
      </c>
      <c r="D22" s="26">
        <f>F22</f>
        <v>94.42</v>
      </c>
      <c r="E22" s="26">
        <f>F22</f>
        <v>94.42</v>
      </c>
      <c r="F22" s="26">
        <f>ROUND(94.4162986735638,2)</f>
        <v>94.42</v>
      </c>
      <c r="G22" s="26"/>
      <c r="H22" s="42"/>
    </row>
    <row r="23" spans="1:8" ht="12.75" customHeight="1">
      <c r="A23" s="27">
        <v>44460</v>
      </c>
      <c r="B23" s="28"/>
      <c r="C23" s="26">
        <f>ROUND(97.6474120475534,2)</f>
        <v>97.65</v>
      </c>
      <c r="D23" s="26">
        <f>F23</f>
        <v>94.48</v>
      </c>
      <c r="E23" s="26">
        <f>F23</f>
        <v>94.48</v>
      </c>
      <c r="F23" s="26">
        <f>ROUND(94.4847435456175,2)</f>
        <v>94.48</v>
      </c>
      <c r="G23" s="26"/>
      <c r="H23" s="42"/>
    </row>
    <row r="24" spans="1:8" ht="12.75" customHeight="1">
      <c r="A24" s="27">
        <v>44551</v>
      </c>
      <c r="B24" s="28"/>
      <c r="C24" s="26">
        <f>ROUND(97.6474120475534,2)</f>
        <v>97.65</v>
      </c>
      <c r="D24" s="26">
        <f>F24</f>
        <v>96.6</v>
      </c>
      <c r="E24" s="26">
        <f>F24</f>
        <v>96.6</v>
      </c>
      <c r="F24" s="26">
        <f>ROUND(96.5987519412182,2)</f>
        <v>96.6</v>
      </c>
      <c r="G24" s="26"/>
      <c r="H24" s="42"/>
    </row>
    <row r="25" spans="1:8" ht="12.75" customHeight="1">
      <c r="A25" s="27">
        <v>44635</v>
      </c>
      <c r="B25" s="28"/>
      <c r="C25" s="26">
        <f>ROUND(97.6474120475534,2)</f>
        <v>97.65</v>
      </c>
      <c r="D25" s="26">
        <f>F25</f>
        <v>96.67</v>
      </c>
      <c r="E25" s="26">
        <f>F25</f>
        <v>96.67</v>
      </c>
      <c r="F25" s="26">
        <f>ROUND(96.6744652309679,2)</f>
        <v>96.67</v>
      </c>
      <c r="G25" s="26"/>
      <c r="H25" s="42"/>
    </row>
    <row r="26" spans="1:8" ht="12.75" customHeight="1">
      <c r="A26" s="27">
        <v>44733</v>
      </c>
      <c r="B26" s="28"/>
      <c r="C26" s="26">
        <f>ROUND(97.6474120475534,2)</f>
        <v>97.65</v>
      </c>
      <c r="D26" s="26">
        <f>F26</f>
        <v>97.8</v>
      </c>
      <c r="E26" s="26">
        <f>F26</f>
        <v>97.8</v>
      </c>
      <c r="F26" s="26">
        <f>ROUND(97.7986933110939,2)</f>
        <v>97.8</v>
      </c>
      <c r="G26" s="26"/>
      <c r="H26" s="42"/>
    </row>
    <row r="27" spans="1:8" ht="12.75" customHeight="1">
      <c r="A27" s="27">
        <v>44824</v>
      </c>
      <c r="B27" s="28"/>
      <c r="C27" s="26">
        <f>ROUND(97.6474120475534,2)</f>
        <v>97.65</v>
      </c>
      <c r="D27" s="26">
        <f>F27</f>
        <v>101.68</v>
      </c>
      <c r="E27" s="26">
        <f>F27</f>
        <v>101.68</v>
      </c>
      <c r="F27" s="26">
        <f>ROUND(101.675351548828,2)</f>
        <v>101.68</v>
      </c>
      <c r="G27" s="26"/>
      <c r="H27" s="42"/>
    </row>
    <row r="28" spans="1:8" ht="12.75" customHeight="1">
      <c r="A28" s="27">
        <v>44915</v>
      </c>
      <c r="B28" s="28"/>
      <c r="C28" s="26">
        <f>ROUND(97.6474120475534,2)</f>
        <v>97.65</v>
      </c>
      <c r="D28" s="26">
        <f>F28</f>
        <v>102.88</v>
      </c>
      <c r="E28" s="26">
        <f>F28</f>
        <v>102.88</v>
      </c>
      <c r="F28" s="26">
        <f>ROUND(102.878940459413,2)</f>
        <v>102.88</v>
      </c>
      <c r="G28" s="26"/>
      <c r="H28" s="42"/>
    </row>
    <row r="29" spans="1:8" ht="12.75" customHeight="1">
      <c r="A29" s="27">
        <v>45007</v>
      </c>
      <c r="B29" s="28"/>
      <c r="C29" s="26">
        <f>ROUND(97.6474120475534,2)</f>
        <v>97.65</v>
      </c>
      <c r="D29" s="26">
        <f>F29</f>
        <v>96.18</v>
      </c>
      <c r="E29" s="26">
        <f>F29</f>
        <v>96.18</v>
      </c>
      <c r="F29" s="26">
        <f>ROUND(96.1843697598057,2)</f>
        <v>96.18</v>
      </c>
      <c r="G29" s="26"/>
      <c r="H29" s="42"/>
    </row>
    <row r="30" spans="1:8" ht="12.75" customHeight="1">
      <c r="A30" s="27">
        <v>45097</v>
      </c>
      <c r="B30" s="28"/>
      <c r="C30" s="26">
        <f>ROUND(97.6474120475534,2)</f>
        <v>97.65</v>
      </c>
      <c r="D30" s="26">
        <f>F30</f>
        <v>102.2</v>
      </c>
      <c r="E30" s="26">
        <f>F30</f>
        <v>102.2</v>
      </c>
      <c r="F30" s="26">
        <f>ROUND(102.201529003692,2)</f>
        <v>102.2</v>
      </c>
      <c r="G30" s="26"/>
      <c r="H30" s="42"/>
    </row>
    <row r="31" spans="1:8" ht="12.75" customHeight="1">
      <c r="A31" s="27">
        <v>45188</v>
      </c>
      <c r="B31" s="28"/>
      <c r="C31" s="26">
        <f>ROUND(97.6474120475534,2)</f>
        <v>97.65</v>
      </c>
      <c r="D31" s="26">
        <f>F31</f>
        <v>97.65</v>
      </c>
      <c r="E31" s="26">
        <f>F31</f>
        <v>97.65</v>
      </c>
      <c r="F31" s="26">
        <f>ROUND(97.6474120475534,2)</f>
        <v>97.65</v>
      </c>
      <c r="G31" s="26"/>
      <c r="H31" s="42"/>
    </row>
    <row r="32" spans="1:8" ht="12.75" customHeight="1">
      <c r="A32" s="27" t="s">
        <v>16</v>
      </c>
      <c r="B32" s="28"/>
      <c r="C32" s="29"/>
      <c r="D32" s="29"/>
      <c r="E32" s="29"/>
      <c r="F32" s="29"/>
      <c r="G32" s="26"/>
      <c r="H32" s="42"/>
    </row>
    <row r="33" spans="1:8" ht="12.75" customHeight="1">
      <c r="A33" s="27">
        <v>46008</v>
      </c>
      <c r="B33" s="28"/>
      <c r="C33" s="26">
        <f>ROUND(96.3140981469328,2)</f>
        <v>96.31</v>
      </c>
      <c r="D33" s="26">
        <f>F33</f>
        <v>94.04</v>
      </c>
      <c r="E33" s="26">
        <f>F33</f>
        <v>94.04</v>
      </c>
      <c r="F33" s="26">
        <f>ROUND(94.0371686143691,2)</f>
        <v>94.04</v>
      </c>
      <c r="G33" s="26"/>
      <c r="H33" s="42"/>
    </row>
    <row r="34" spans="1:8" ht="12.75" customHeight="1">
      <c r="A34" s="27">
        <v>46097</v>
      </c>
      <c r="B34" s="28"/>
      <c r="C34" s="26">
        <f>ROUND(96.3140981469328,2)</f>
        <v>96.31</v>
      </c>
      <c r="D34" s="26">
        <f>F34</f>
        <v>91</v>
      </c>
      <c r="E34" s="26">
        <f>F34</f>
        <v>91</v>
      </c>
      <c r="F34" s="26">
        <f>ROUND(90.9967535759195,2)</f>
        <v>91</v>
      </c>
      <c r="G34" s="26"/>
      <c r="H34" s="42"/>
    </row>
    <row r="35" spans="1:8" ht="12.75" customHeight="1">
      <c r="A35" s="27">
        <v>46188</v>
      </c>
      <c r="B35" s="28"/>
      <c r="C35" s="26">
        <f>ROUND(96.3140981469328,2)</f>
        <v>96.31</v>
      </c>
      <c r="D35" s="26">
        <f>F35</f>
        <v>89.71</v>
      </c>
      <c r="E35" s="26">
        <f>F35</f>
        <v>89.71</v>
      </c>
      <c r="F35" s="26">
        <f>ROUND(89.7114574835703,2)</f>
        <v>89.71</v>
      </c>
      <c r="G35" s="26"/>
      <c r="H35" s="42"/>
    </row>
    <row r="36" spans="1:8" ht="12.75" customHeight="1">
      <c r="A36" s="27">
        <v>46286</v>
      </c>
      <c r="B36" s="28"/>
      <c r="C36" s="26">
        <f>ROUND(96.3140981469328,2)</f>
        <v>96.31</v>
      </c>
      <c r="D36" s="26">
        <f>F36</f>
        <v>91.86</v>
      </c>
      <c r="E36" s="26">
        <f>F36</f>
        <v>91.86</v>
      </c>
      <c r="F36" s="26">
        <f>ROUND(91.8649377777536,2)</f>
        <v>91.86</v>
      </c>
      <c r="G36" s="26"/>
      <c r="H36" s="42"/>
    </row>
    <row r="37" spans="1:8" ht="12.75" customHeight="1">
      <c r="A37" s="27">
        <v>46377</v>
      </c>
      <c r="B37" s="28"/>
      <c r="C37" s="26">
        <f>ROUND(96.3140981469328,2)</f>
        <v>96.31</v>
      </c>
      <c r="D37" s="26">
        <f>F37</f>
        <v>95.67</v>
      </c>
      <c r="E37" s="26">
        <f>F37</f>
        <v>95.67</v>
      </c>
      <c r="F37" s="26">
        <f>ROUND(95.6665480090614,2)</f>
        <v>95.67</v>
      </c>
      <c r="G37" s="26"/>
      <c r="H37" s="42"/>
    </row>
    <row r="38" spans="1:8" ht="12.75" customHeight="1">
      <c r="A38" s="27">
        <v>46461</v>
      </c>
      <c r="B38" s="28"/>
      <c r="C38" s="26">
        <f>ROUND(96.3140981469328,2)</f>
        <v>96.31</v>
      </c>
      <c r="D38" s="26">
        <f>F38</f>
        <v>94.22</v>
      </c>
      <c r="E38" s="26">
        <f>F38</f>
        <v>94.22</v>
      </c>
      <c r="F38" s="26">
        <f>ROUND(94.2193354042497,2)</f>
        <v>94.22</v>
      </c>
      <c r="G38" s="26"/>
      <c r="H38" s="42"/>
    </row>
    <row r="39" spans="1:8" ht="12.75" customHeight="1">
      <c r="A39" s="27">
        <v>46559</v>
      </c>
      <c r="B39" s="28"/>
      <c r="C39" s="26">
        <f>ROUND(96.3140981469328,2)</f>
        <v>96.31</v>
      </c>
      <c r="D39" s="26">
        <f>F39</f>
        <v>96.29</v>
      </c>
      <c r="E39" s="26">
        <f>F39</f>
        <v>96.29</v>
      </c>
      <c r="F39" s="26">
        <f>ROUND(96.2898322696467,2)</f>
        <v>96.29</v>
      </c>
      <c r="G39" s="26"/>
      <c r="H39" s="42"/>
    </row>
    <row r="40" spans="1:8" ht="12.75" customHeight="1">
      <c r="A40" s="27">
        <v>46650</v>
      </c>
      <c r="B40" s="28"/>
      <c r="C40" s="26">
        <f>ROUND(96.3140981469328,2)</f>
        <v>96.31</v>
      </c>
      <c r="D40" s="26">
        <f>F40</f>
        <v>101.76</v>
      </c>
      <c r="E40" s="26">
        <f>F40</f>
        <v>101.76</v>
      </c>
      <c r="F40" s="26">
        <f>ROUND(101.760305626321,2)</f>
        <v>101.76</v>
      </c>
      <c r="G40" s="26"/>
      <c r="H40" s="42"/>
    </row>
    <row r="41" spans="1:8" ht="12.75" customHeight="1">
      <c r="A41" s="27">
        <v>46741</v>
      </c>
      <c r="B41" s="28"/>
      <c r="C41" s="26">
        <f>ROUND(96.3140981469328,2)</f>
        <v>96.31</v>
      </c>
      <c r="D41" s="26">
        <f>F41</f>
        <v>102.11</v>
      </c>
      <c r="E41" s="26">
        <f>F41</f>
        <v>102.11</v>
      </c>
      <c r="F41" s="26">
        <f>ROUND(102.109986640143,2)</f>
        <v>102.11</v>
      </c>
      <c r="G41" s="26"/>
      <c r="H41" s="42"/>
    </row>
    <row r="42" spans="1:8" ht="12.75" customHeight="1">
      <c r="A42" s="27">
        <v>46834</v>
      </c>
      <c r="B42" s="28"/>
      <c r="C42" s="26">
        <f>ROUND(96.3140981469328,2)</f>
        <v>96.31</v>
      </c>
      <c r="D42" s="26">
        <f>F42</f>
        <v>95.58</v>
      </c>
      <c r="E42" s="26">
        <f>F42</f>
        <v>95.58</v>
      </c>
      <c r="F42" s="26">
        <f>ROUND(95.5771060982058,2)</f>
        <v>95.58</v>
      </c>
      <c r="G42" s="26"/>
      <c r="H42" s="42"/>
    </row>
    <row r="43" spans="1:8" ht="12.75" customHeight="1">
      <c r="A43" s="27">
        <v>46924</v>
      </c>
      <c r="B43" s="28"/>
      <c r="C43" s="26">
        <f>ROUND(96.3140981469328,2)</f>
        <v>96.31</v>
      </c>
      <c r="D43" s="26">
        <f>F43</f>
        <v>102.79</v>
      </c>
      <c r="E43" s="26">
        <f>F43</f>
        <v>102.79</v>
      </c>
      <c r="F43" s="26">
        <f>ROUND(102.794898910592,2)</f>
        <v>102.79</v>
      </c>
      <c r="G43" s="26"/>
      <c r="H43" s="42"/>
    </row>
    <row r="44" spans="1:8" ht="12.75" customHeight="1">
      <c r="A44" s="27">
        <v>47015</v>
      </c>
      <c r="B44" s="28"/>
      <c r="C44" s="26">
        <f>ROUND(96.3140981469328,2)</f>
        <v>96.31</v>
      </c>
      <c r="D44" s="26">
        <f>F44</f>
        <v>96.31</v>
      </c>
      <c r="E44" s="26">
        <f>F44</f>
        <v>96.31</v>
      </c>
      <c r="F44" s="26">
        <f>ROUND(96.3140981469328,2)</f>
        <v>96.31</v>
      </c>
      <c r="G44" s="26"/>
      <c r="H44" s="42"/>
    </row>
    <row r="45" spans="1:8" ht="12.75" customHeight="1">
      <c r="A45" s="27" t="s">
        <v>17</v>
      </c>
      <c r="B45" s="28"/>
      <c r="C45" s="29"/>
      <c r="D45" s="29"/>
      <c r="E45" s="29"/>
      <c r="F45" s="29"/>
      <c r="G45" s="26"/>
      <c r="H45" s="42"/>
    </row>
    <row r="46" spans="1:8" ht="12.75" customHeight="1">
      <c r="A46" s="27">
        <v>45688</v>
      </c>
      <c r="B46" s="28"/>
      <c r="C46" s="30">
        <f>ROUND(3,5)</f>
        <v>3</v>
      </c>
      <c r="D46" s="30">
        <f>F46</f>
        <v>3</v>
      </c>
      <c r="E46" s="30">
        <f>F46</f>
        <v>3</v>
      </c>
      <c r="F46" s="30">
        <f>ROUND(3,5)</f>
        <v>3</v>
      </c>
      <c r="G46" s="26"/>
      <c r="H46" s="42"/>
    </row>
    <row r="47" spans="1:8" ht="12.75" customHeight="1">
      <c r="A47" s="27" t="s">
        <v>18</v>
      </c>
      <c r="B47" s="28"/>
      <c r="C47" s="29"/>
      <c r="D47" s="29"/>
      <c r="E47" s="29"/>
      <c r="F47" s="29"/>
      <c r="G47" s="26"/>
      <c r="H47" s="42"/>
    </row>
    <row r="48" spans="1:8" ht="12.75" customHeight="1">
      <c r="A48" s="27">
        <v>50436</v>
      </c>
      <c r="B48" s="28"/>
      <c r="C48" s="30">
        <f>ROUND(3.21,5)</f>
        <v>3.21</v>
      </c>
      <c r="D48" s="30">
        <f>F48</f>
        <v>3.21</v>
      </c>
      <c r="E48" s="30">
        <f>F48</f>
        <v>3.21</v>
      </c>
      <c r="F48" s="30">
        <f>ROUND(3.21,5)</f>
        <v>3.21</v>
      </c>
      <c r="G48" s="26"/>
      <c r="H48" s="42"/>
    </row>
    <row r="49" spans="1:8" ht="12.75" customHeight="1">
      <c r="A49" s="27" t="s">
        <v>19</v>
      </c>
      <c r="B49" s="28"/>
      <c r="C49" s="29"/>
      <c r="D49" s="29"/>
      <c r="E49" s="29"/>
      <c r="F49" s="29"/>
      <c r="G49" s="26"/>
      <c r="H49" s="42"/>
    </row>
    <row r="50" spans="1:8" ht="12.75" customHeight="1">
      <c r="A50" s="27">
        <v>55153</v>
      </c>
      <c r="B50" s="28"/>
      <c r="C50" s="30">
        <f>ROUND(3.24,5)</f>
        <v>3.24</v>
      </c>
      <c r="D50" s="30">
        <f>F50</f>
        <v>3.24</v>
      </c>
      <c r="E50" s="30">
        <f>F50</f>
        <v>3.24</v>
      </c>
      <c r="F50" s="30">
        <f>ROUND(3.24,5)</f>
        <v>3.24</v>
      </c>
      <c r="G50" s="26"/>
      <c r="H50" s="42"/>
    </row>
    <row r="51" spans="1:8" ht="12.75" customHeight="1">
      <c r="A51" s="27" t="s">
        <v>20</v>
      </c>
      <c r="B51" s="28"/>
      <c r="C51" s="29"/>
      <c r="D51" s="29"/>
      <c r="E51" s="29"/>
      <c r="F51" s="29"/>
      <c r="G51" s="26"/>
      <c r="H51" s="42"/>
    </row>
    <row r="52" spans="1:8" ht="12.75" customHeight="1">
      <c r="A52" s="27">
        <v>46875</v>
      </c>
      <c r="B52" s="28"/>
      <c r="C52" s="30">
        <f>ROUND(3.88,5)</f>
        <v>3.88</v>
      </c>
      <c r="D52" s="30">
        <f>F52</f>
        <v>3.88</v>
      </c>
      <c r="E52" s="30">
        <f>F52</f>
        <v>3.88</v>
      </c>
      <c r="F52" s="30">
        <f>ROUND(3.88,5)</f>
        <v>3.88</v>
      </c>
      <c r="G52" s="26"/>
      <c r="H52" s="42"/>
    </row>
    <row r="53" spans="1:8" ht="12.75" customHeight="1">
      <c r="A53" s="27" t="s">
        <v>21</v>
      </c>
      <c r="B53" s="28"/>
      <c r="C53" s="29"/>
      <c r="D53" s="29"/>
      <c r="E53" s="29"/>
      <c r="F53" s="29"/>
      <c r="G53" s="26"/>
      <c r="H53" s="42"/>
    </row>
    <row r="54" spans="1:8" ht="12.75" customHeight="1">
      <c r="A54" s="27">
        <v>48837</v>
      </c>
      <c r="B54" s="28"/>
      <c r="C54" s="30">
        <f>ROUND(10.865,5)</f>
        <v>10.865</v>
      </c>
      <c r="D54" s="30">
        <f>F54</f>
        <v>10.865</v>
      </c>
      <c r="E54" s="30">
        <f>F54</f>
        <v>10.865</v>
      </c>
      <c r="F54" s="30">
        <f>ROUND(10.865,5)</f>
        <v>10.865</v>
      </c>
      <c r="G54" s="26"/>
      <c r="H54" s="42"/>
    </row>
    <row r="55" spans="1:8" ht="12.75" customHeight="1">
      <c r="A55" s="27" t="s">
        <v>22</v>
      </c>
      <c r="B55" s="28"/>
      <c r="C55" s="29"/>
      <c r="D55" s="29"/>
      <c r="E55" s="29"/>
      <c r="F55" s="29"/>
      <c r="G55" s="26"/>
      <c r="H55" s="42"/>
    </row>
    <row r="56" spans="1:8" ht="12.75" customHeight="1">
      <c r="A56" s="27">
        <v>44985</v>
      </c>
      <c r="B56" s="28"/>
      <c r="C56" s="30">
        <f>ROUND(7.875,5)</f>
        <v>7.875</v>
      </c>
      <c r="D56" s="30">
        <f>F56</f>
        <v>7.875</v>
      </c>
      <c r="E56" s="30">
        <f>F56</f>
        <v>7.875</v>
      </c>
      <c r="F56" s="30">
        <f>ROUND(7.875,5)</f>
        <v>7.875</v>
      </c>
      <c r="G56" s="26"/>
      <c r="H56" s="42"/>
    </row>
    <row r="57" spans="1:8" ht="12.75" customHeight="1">
      <c r="A57" s="27" t="s">
        <v>23</v>
      </c>
      <c r="B57" s="28"/>
      <c r="C57" s="29"/>
      <c r="D57" s="29"/>
      <c r="E57" s="29"/>
      <c r="F57" s="29"/>
      <c r="G57" s="26"/>
      <c r="H57" s="42"/>
    </row>
    <row r="58" spans="1:8" ht="12.75" customHeight="1">
      <c r="A58" s="27">
        <v>46377</v>
      </c>
      <c r="B58" s="28"/>
      <c r="C58" s="31">
        <f>ROUND(8.705,3)</f>
        <v>8.705</v>
      </c>
      <c r="D58" s="31">
        <f>F58</f>
        <v>8.705</v>
      </c>
      <c r="E58" s="31">
        <f>F58</f>
        <v>8.705</v>
      </c>
      <c r="F58" s="31">
        <f>ROUND(8.705,3)</f>
        <v>8.705</v>
      </c>
      <c r="G58" s="26"/>
      <c r="H58" s="42"/>
    </row>
    <row r="59" spans="1:8" ht="12.75" customHeight="1">
      <c r="A59" s="27" t="s">
        <v>24</v>
      </c>
      <c r="B59" s="28"/>
      <c r="C59" s="29"/>
      <c r="D59" s="29"/>
      <c r="E59" s="29"/>
      <c r="F59" s="29"/>
      <c r="G59" s="26"/>
      <c r="H59" s="42"/>
    </row>
    <row r="60" spans="1:8" ht="12.75" customHeight="1">
      <c r="A60" s="27">
        <v>45267</v>
      </c>
      <c r="B60" s="28"/>
      <c r="C60" s="31">
        <f>ROUND(2.85,3)</f>
        <v>2.85</v>
      </c>
      <c r="D60" s="31">
        <f>F60</f>
        <v>2.85</v>
      </c>
      <c r="E60" s="31">
        <f>F60</f>
        <v>2.85</v>
      </c>
      <c r="F60" s="31">
        <f>ROUND(2.85,3)</f>
        <v>2.85</v>
      </c>
      <c r="G60" s="26"/>
      <c r="H60" s="42"/>
    </row>
    <row r="61" spans="1:8" ht="12.75" customHeight="1">
      <c r="A61" s="27" t="s">
        <v>25</v>
      </c>
      <c r="B61" s="28"/>
      <c r="C61" s="29"/>
      <c r="D61" s="29"/>
      <c r="E61" s="29"/>
      <c r="F61" s="29"/>
      <c r="G61" s="26"/>
      <c r="H61" s="42"/>
    </row>
    <row r="62" spans="1:8" ht="12.75" customHeight="1">
      <c r="A62" s="27">
        <v>48920</v>
      </c>
      <c r="B62" s="28"/>
      <c r="C62" s="31">
        <f>ROUND(3.14,3)</f>
        <v>3.14</v>
      </c>
      <c r="D62" s="31">
        <f>F62</f>
        <v>3.14</v>
      </c>
      <c r="E62" s="31">
        <f>F62</f>
        <v>3.14</v>
      </c>
      <c r="F62" s="31">
        <f>ROUND(3.14,3)</f>
        <v>3.14</v>
      </c>
      <c r="G62" s="26"/>
      <c r="H62" s="42"/>
    </row>
    <row r="63" spans="1:8" ht="12.75" customHeight="1">
      <c r="A63" s="27" t="s">
        <v>26</v>
      </c>
      <c r="B63" s="28"/>
      <c r="C63" s="29"/>
      <c r="D63" s="29"/>
      <c r="E63" s="29"/>
      <c r="F63" s="29"/>
      <c r="G63" s="26"/>
      <c r="H63" s="42"/>
    </row>
    <row r="64" spans="1:8" ht="12.75" customHeight="1">
      <c r="A64" s="27">
        <v>43845</v>
      </c>
      <c r="B64" s="28"/>
      <c r="C64" s="31">
        <f>ROUND(6.28,3)</f>
        <v>6.28</v>
      </c>
      <c r="D64" s="31">
        <f>F64</f>
        <v>6.28</v>
      </c>
      <c r="E64" s="31">
        <f>F64</f>
        <v>6.28</v>
      </c>
      <c r="F64" s="31">
        <f>ROUND(6.28,3)</f>
        <v>6.28</v>
      </c>
      <c r="G64" s="26"/>
      <c r="H64" s="42"/>
    </row>
    <row r="65" spans="1:8" ht="12.75" customHeight="1">
      <c r="A65" s="27" t="s">
        <v>27</v>
      </c>
      <c r="B65" s="28"/>
      <c r="C65" s="29"/>
      <c r="D65" s="29"/>
      <c r="E65" s="29"/>
      <c r="F65" s="29"/>
      <c r="G65" s="26"/>
      <c r="H65" s="42"/>
    </row>
    <row r="66" spans="1:8" ht="12.75" customHeight="1">
      <c r="A66" s="27">
        <v>44286</v>
      </c>
      <c r="B66" s="28"/>
      <c r="C66" s="31">
        <f>ROUND(7.045,3)</f>
        <v>7.045</v>
      </c>
      <c r="D66" s="31">
        <f>F66</f>
        <v>7.045</v>
      </c>
      <c r="E66" s="31">
        <f>F66</f>
        <v>7.045</v>
      </c>
      <c r="F66" s="31">
        <f>ROUND(7.045,3)</f>
        <v>7.045</v>
      </c>
      <c r="G66" s="26"/>
      <c r="H66" s="42"/>
    </row>
    <row r="67" spans="1:8" ht="12.75" customHeight="1">
      <c r="A67" s="27" t="s">
        <v>28</v>
      </c>
      <c r="B67" s="28"/>
      <c r="C67" s="29"/>
      <c r="D67" s="29"/>
      <c r="E67" s="29"/>
      <c r="F67" s="29"/>
      <c r="G67" s="26"/>
      <c r="H67" s="42"/>
    </row>
    <row r="68" spans="1:8" ht="12.75" customHeight="1">
      <c r="A68" s="27">
        <v>49765</v>
      </c>
      <c r="B68" s="28"/>
      <c r="C68" s="31">
        <f>ROUND(9.555,3)</f>
        <v>9.555</v>
      </c>
      <c r="D68" s="31">
        <f>F68</f>
        <v>9.555</v>
      </c>
      <c r="E68" s="31">
        <f>F68</f>
        <v>9.555</v>
      </c>
      <c r="F68" s="31">
        <f>ROUND(9.555,3)</f>
        <v>9.555</v>
      </c>
      <c r="G68" s="26"/>
      <c r="H68" s="42"/>
    </row>
    <row r="69" spans="1:8" ht="12.75" customHeight="1">
      <c r="A69" s="27" t="s">
        <v>29</v>
      </c>
      <c r="B69" s="28"/>
      <c r="C69" s="29"/>
      <c r="D69" s="29"/>
      <c r="E69" s="29"/>
      <c r="F69" s="29"/>
      <c r="G69" s="26"/>
      <c r="H69" s="42"/>
    </row>
    <row r="70" spans="1:8" ht="12.75" customHeight="1">
      <c r="A70" s="27">
        <v>46843</v>
      </c>
      <c r="B70" s="28"/>
      <c r="C70" s="31">
        <f>ROUND(3.1,3)</f>
        <v>3.1</v>
      </c>
      <c r="D70" s="31">
        <f>F70</f>
        <v>3.1</v>
      </c>
      <c r="E70" s="31">
        <f>F70</f>
        <v>3.1</v>
      </c>
      <c r="F70" s="31">
        <f>ROUND(3.1,3)</f>
        <v>3.1</v>
      </c>
      <c r="G70" s="26"/>
      <c r="H70" s="42"/>
    </row>
    <row r="71" spans="1:8" ht="12.75" customHeight="1">
      <c r="A71" s="27" t="s">
        <v>30</v>
      </c>
      <c r="B71" s="28"/>
      <c r="C71" s="29"/>
      <c r="D71" s="29"/>
      <c r="E71" s="29"/>
      <c r="F71" s="29"/>
      <c r="G71" s="26"/>
      <c r="H71" s="42"/>
    </row>
    <row r="72" spans="1:8" ht="12.75" customHeight="1">
      <c r="A72" s="27">
        <v>44592</v>
      </c>
      <c r="B72" s="28"/>
      <c r="C72" s="31">
        <f>ROUND(2.8,3)</f>
        <v>2.8</v>
      </c>
      <c r="D72" s="31">
        <f>F72</f>
        <v>2.8</v>
      </c>
      <c r="E72" s="31">
        <f>F72</f>
        <v>2.8</v>
      </c>
      <c r="F72" s="31">
        <f>ROUND(2.8,3)</f>
        <v>2.8</v>
      </c>
      <c r="G72" s="26"/>
      <c r="H72" s="42"/>
    </row>
    <row r="73" spans="1:8" ht="12.75" customHeight="1">
      <c r="A73" s="27" t="s">
        <v>31</v>
      </c>
      <c r="B73" s="28"/>
      <c r="C73" s="29"/>
      <c r="D73" s="29"/>
      <c r="E73" s="29"/>
      <c r="F73" s="29"/>
      <c r="G73" s="26"/>
      <c r="H73" s="42"/>
    </row>
    <row r="74" spans="1:8" ht="12.75" customHeight="1">
      <c r="A74" s="27">
        <v>47907</v>
      </c>
      <c r="B74" s="28"/>
      <c r="C74" s="31">
        <f>ROUND(9.345,3)</f>
        <v>9.345</v>
      </c>
      <c r="D74" s="31">
        <f>F74</f>
        <v>9.345</v>
      </c>
      <c r="E74" s="31">
        <f>F74</f>
        <v>9.345</v>
      </c>
      <c r="F74" s="31">
        <f>ROUND(9.345,3)</f>
        <v>9.345</v>
      </c>
      <c r="G74" s="26"/>
      <c r="H74" s="42"/>
    </row>
    <row r="75" spans="1:8" ht="12.75" customHeight="1">
      <c r="A75" s="27" t="s">
        <v>32</v>
      </c>
      <c r="B75" s="28"/>
      <c r="C75" s="29"/>
      <c r="D75" s="29"/>
      <c r="E75" s="29"/>
      <c r="F75" s="29"/>
      <c r="G75" s="26"/>
      <c r="H75" s="42"/>
    </row>
    <row r="76" spans="1:8" ht="12.75" customHeight="1">
      <c r="A76" s="27">
        <v>43503</v>
      </c>
      <c r="B76" s="28"/>
      <c r="C76" s="30">
        <f>ROUND(3,5)</f>
        <v>3</v>
      </c>
      <c r="D76" s="30">
        <f>F76</f>
        <v>133.5381</v>
      </c>
      <c r="E76" s="30">
        <f>F76</f>
        <v>133.5381</v>
      </c>
      <c r="F76" s="30">
        <f>ROUND(133.5381,5)</f>
        <v>133.5381</v>
      </c>
      <c r="G76" s="26"/>
      <c r="H76" s="42"/>
    </row>
    <row r="77" spans="1:8" ht="12.75" customHeight="1">
      <c r="A77" s="27">
        <v>43587</v>
      </c>
      <c r="B77" s="28"/>
      <c r="C77" s="30">
        <f>ROUND(3,5)</f>
        <v>3</v>
      </c>
      <c r="D77" s="30">
        <f>F77</f>
        <v>135.8572</v>
      </c>
      <c r="E77" s="30">
        <f>F77</f>
        <v>135.8572</v>
      </c>
      <c r="F77" s="30">
        <f>ROUND(135.8572,5)</f>
        <v>135.8572</v>
      </c>
      <c r="G77" s="26"/>
      <c r="H77" s="42"/>
    </row>
    <row r="78" spans="1:8" ht="12.75" customHeight="1">
      <c r="A78" s="27">
        <v>43678</v>
      </c>
      <c r="B78" s="28"/>
      <c r="C78" s="30">
        <f>ROUND(3,5)</f>
        <v>3</v>
      </c>
      <c r="D78" s="30">
        <f>F78</f>
        <v>138.46442</v>
      </c>
      <c r="E78" s="30">
        <f>F78</f>
        <v>138.46442</v>
      </c>
      <c r="F78" s="30">
        <f>ROUND(138.46442,5)</f>
        <v>138.46442</v>
      </c>
      <c r="G78" s="26"/>
      <c r="H78" s="42"/>
    </row>
    <row r="79" spans="1:8" ht="12.75" customHeight="1">
      <c r="A79" s="27">
        <v>43776</v>
      </c>
      <c r="B79" s="28"/>
      <c r="C79" s="30">
        <f>ROUND(3,5)</f>
        <v>3</v>
      </c>
      <c r="D79" s="30">
        <f>F79</f>
        <v>141.40837</v>
      </c>
      <c r="E79" s="30">
        <f>F79</f>
        <v>141.40837</v>
      </c>
      <c r="F79" s="30">
        <f>ROUND(141.40837,5)</f>
        <v>141.40837</v>
      </c>
      <c r="G79" s="26"/>
      <c r="H79" s="42"/>
    </row>
    <row r="80" spans="1:8" ht="12.75" customHeight="1">
      <c r="A80" s="27">
        <v>43867</v>
      </c>
      <c r="B80" s="28"/>
      <c r="C80" s="30">
        <f>ROUND(3,5)</f>
        <v>3</v>
      </c>
      <c r="D80" s="30">
        <f>F80</f>
        <v>144.03677</v>
      </c>
      <c r="E80" s="30">
        <f>F80</f>
        <v>144.03677</v>
      </c>
      <c r="F80" s="30">
        <f>ROUND(144.03677,5)</f>
        <v>144.03677</v>
      </c>
      <c r="G80" s="26"/>
      <c r="H80" s="42"/>
    </row>
    <row r="81" spans="1:8" ht="12.75" customHeight="1">
      <c r="A81" s="27" t="s">
        <v>33</v>
      </c>
      <c r="B81" s="28"/>
      <c r="C81" s="29"/>
      <c r="D81" s="29"/>
      <c r="E81" s="29"/>
      <c r="F81" s="29"/>
      <c r="G81" s="26"/>
      <c r="H81" s="42"/>
    </row>
    <row r="82" spans="1:8" ht="12.75" customHeight="1">
      <c r="A82" s="27">
        <v>43503</v>
      </c>
      <c r="B82" s="28"/>
      <c r="C82" s="30">
        <f>ROUND(101.24306,5)</f>
        <v>101.24306</v>
      </c>
      <c r="D82" s="30">
        <f>F82</f>
        <v>101.50575</v>
      </c>
      <c r="E82" s="30">
        <f>F82</f>
        <v>101.50575</v>
      </c>
      <c r="F82" s="30">
        <f>ROUND(101.50575,5)</f>
        <v>101.50575</v>
      </c>
      <c r="G82" s="26"/>
      <c r="H82" s="42"/>
    </row>
    <row r="83" spans="1:8" ht="12.75" customHeight="1">
      <c r="A83" s="27">
        <v>43587</v>
      </c>
      <c r="B83" s="28"/>
      <c r="C83" s="30">
        <f>ROUND(101.24306,5)</f>
        <v>101.24306</v>
      </c>
      <c r="D83" s="30">
        <f>F83</f>
        <v>102.19579</v>
      </c>
      <c r="E83" s="30">
        <f>F83</f>
        <v>102.19579</v>
      </c>
      <c r="F83" s="30">
        <f>ROUND(102.19579,5)</f>
        <v>102.19579</v>
      </c>
      <c r="G83" s="26"/>
      <c r="H83" s="42"/>
    </row>
    <row r="84" spans="1:8" ht="12.75" customHeight="1">
      <c r="A84" s="27">
        <v>43678</v>
      </c>
      <c r="B84" s="28"/>
      <c r="C84" s="30">
        <f>ROUND(101.24306,5)</f>
        <v>101.24306</v>
      </c>
      <c r="D84" s="30">
        <f>F84</f>
        <v>104.19226</v>
      </c>
      <c r="E84" s="30">
        <f>F84</f>
        <v>104.19226</v>
      </c>
      <c r="F84" s="30">
        <f>ROUND(104.19226,5)</f>
        <v>104.19226</v>
      </c>
      <c r="G84" s="26"/>
      <c r="H84" s="42"/>
    </row>
    <row r="85" spans="1:8" ht="12.75" customHeight="1">
      <c r="A85" s="27">
        <v>43776</v>
      </c>
      <c r="B85" s="28"/>
      <c r="C85" s="30">
        <f>ROUND(101.24306,5)</f>
        <v>101.24306</v>
      </c>
      <c r="D85" s="30">
        <f>F85</f>
        <v>106.40754</v>
      </c>
      <c r="E85" s="30">
        <f>F85</f>
        <v>106.40754</v>
      </c>
      <c r="F85" s="30">
        <f>ROUND(106.40754,5)</f>
        <v>106.40754</v>
      </c>
      <c r="G85" s="26"/>
      <c r="H85" s="42"/>
    </row>
    <row r="86" spans="1:8" ht="12.75" customHeight="1">
      <c r="A86" s="27">
        <v>43867</v>
      </c>
      <c r="B86" s="28"/>
      <c r="C86" s="30">
        <f>ROUND(101.24306,5)</f>
        <v>101.24306</v>
      </c>
      <c r="D86" s="30">
        <f>F86</f>
        <v>108.38514</v>
      </c>
      <c r="E86" s="30">
        <f>F86</f>
        <v>108.38514</v>
      </c>
      <c r="F86" s="30">
        <f>ROUND(108.38514,5)</f>
        <v>108.38514</v>
      </c>
      <c r="G86" s="26"/>
      <c r="H86" s="42"/>
    </row>
    <row r="87" spans="1:8" ht="12.75" customHeight="1">
      <c r="A87" s="27" t="s">
        <v>34</v>
      </c>
      <c r="B87" s="28"/>
      <c r="C87" s="29"/>
      <c r="D87" s="29"/>
      <c r="E87" s="29"/>
      <c r="F87" s="29"/>
      <c r="G87" s="26"/>
      <c r="H87" s="42"/>
    </row>
    <row r="88" spans="1:8" ht="12.75" customHeight="1">
      <c r="A88" s="27">
        <v>43503</v>
      </c>
      <c r="B88" s="28"/>
      <c r="C88" s="30">
        <f>ROUND(9.225,5)</f>
        <v>9.225</v>
      </c>
      <c r="D88" s="30">
        <f>F88</f>
        <v>9.23472</v>
      </c>
      <c r="E88" s="30">
        <f>F88</f>
        <v>9.23472</v>
      </c>
      <c r="F88" s="30">
        <f>ROUND(9.23472,5)</f>
        <v>9.23472</v>
      </c>
      <c r="G88" s="26"/>
      <c r="H88" s="42"/>
    </row>
    <row r="89" spans="1:8" ht="12.75" customHeight="1">
      <c r="A89" s="27">
        <v>43587</v>
      </c>
      <c r="B89" s="28"/>
      <c r="C89" s="30">
        <f>ROUND(9.225,5)</f>
        <v>9.225</v>
      </c>
      <c r="D89" s="30">
        <f>F89</f>
        <v>9.29325</v>
      </c>
      <c r="E89" s="30">
        <f>F89</f>
        <v>9.29325</v>
      </c>
      <c r="F89" s="30">
        <f>ROUND(9.29325,5)</f>
        <v>9.29325</v>
      </c>
      <c r="G89" s="26"/>
      <c r="H89" s="42"/>
    </row>
    <row r="90" spans="1:8" ht="12.75" customHeight="1">
      <c r="A90" s="27">
        <v>43678</v>
      </c>
      <c r="B90" s="28"/>
      <c r="C90" s="30">
        <f>ROUND(9.225,5)</f>
        <v>9.225</v>
      </c>
      <c r="D90" s="30">
        <f>F90</f>
        <v>9.34992</v>
      </c>
      <c r="E90" s="30">
        <f>F90</f>
        <v>9.34992</v>
      </c>
      <c r="F90" s="30">
        <f>ROUND(9.34992,5)</f>
        <v>9.34992</v>
      </c>
      <c r="G90" s="26"/>
      <c r="H90" s="42"/>
    </row>
    <row r="91" spans="1:8" ht="12.75" customHeight="1">
      <c r="A91" s="27">
        <v>43776</v>
      </c>
      <c r="B91" s="28"/>
      <c r="C91" s="30">
        <f>ROUND(9.225,5)</f>
        <v>9.225</v>
      </c>
      <c r="D91" s="30">
        <f>F91</f>
        <v>9.40409</v>
      </c>
      <c r="E91" s="30">
        <f>F91</f>
        <v>9.40409</v>
      </c>
      <c r="F91" s="30">
        <f>ROUND(9.40409,5)</f>
        <v>9.40409</v>
      </c>
      <c r="G91" s="26"/>
      <c r="H91" s="42"/>
    </row>
    <row r="92" spans="1:8" ht="12.75" customHeight="1">
      <c r="A92" s="27">
        <v>43867</v>
      </c>
      <c r="B92" s="28"/>
      <c r="C92" s="30">
        <f>ROUND(9.225,5)</f>
        <v>9.225</v>
      </c>
      <c r="D92" s="30">
        <f>F92</f>
        <v>9.47673</v>
      </c>
      <c r="E92" s="30">
        <f>F92</f>
        <v>9.47673</v>
      </c>
      <c r="F92" s="30">
        <f>ROUND(9.47673,5)</f>
        <v>9.47673</v>
      </c>
      <c r="G92" s="26"/>
      <c r="H92" s="42"/>
    </row>
    <row r="93" spans="1:8" ht="12.75" customHeight="1">
      <c r="A93" s="27" t="s">
        <v>35</v>
      </c>
      <c r="B93" s="28"/>
      <c r="C93" s="29"/>
      <c r="D93" s="29"/>
      <c r="E93" s="29"/>
      <c r="F93" s="29"/>
      <c r="G93" s="26"/>
      <c r="H93" s="42"/>
    </row>
    <row r="94" spans="1:8" ht="12.75" customHeight="1">
      <c r="A94" s="27">
        <v>43503</v>
      </c>
      <c r="B94" s="28"/>
      <c r="C94" s="30">
        <f>ROUND(9.465,5)</f>
        <v>9.465</v>
      </c>
      <c r="D94" s="30">
        <f>F94</f>
        <v>9.4751</v>
      </c>
      <c r="E94" s="30">
        <f>F94</f>
        <v>9.4751</v>
      </c>
      <c r="F94" s="30">
        <f>ROUND(9.4751,5)</f>
        <v>9.4751</v>
      </c>
      <c r="G94" s="26"/>
      <c r="H94" s="42"/>
    </row>
    <row r="95" spans="1:8" ht="12.75" customHeight="1">
      <c r="A95" s="27">
        <v>43587</v>
      </c>
      <c r="B95" s="28"/>
      <c r="C95" s="30">
        <f>ROUND(9.465,5)</f>
        <v>9.465</v>
      </c>
      <c r="D95" s="30">
        <f>F95</f>
        <v>9.5342</v>
      </c>
      <c r="E95" s="30">
        <f>F95</f>
        <v>9.5342</v>
      </c>
      <c r="F95" s="30">
        <f>ROUND(9.5342,5)</f>
        <v>9.5342</v>
      </c>
      <c r="G95" s="26"/>
      <c r="H95" s="42"/>
    </row>
    <row r="96" spans="1:8" ht="12.75" customHeight="1">
      <c r="A96" s="27">
        <v>43678</v>
      </c>
      <c r="B96" s="28"/>
      <c r="C96" s="30">
        <f>ROUND(9.465,5)</f>
        <v>9.465</v>
      </c>
      <c r="D96" s="30">
        <f>F96</f>
        <v>9.58996</v>
      </c>
      <c r="E96" s="30">
        <f>F96</f>
        <v>9.58996</v>
      </c>
      <c r="F96" s="30">
        <f>ROUND(9.58996,5)</f>
        <v>9.58996</v>
      </c>
      <c r="G96" s="26"/>
      <c r="H96" s="42"/>
    </row>
    <row r="97" spans="1:8" ht="12.75" customHeight="1">
      <c r="A97" s="27">
        <v>43776</v>
      </c>
      <c r="B97" s="28"/>
      <c r="C97" s="30">
        <f>ROUND(9.465,5)</f>
        <v>9.465</v>
      </c>
      <c r="D97" s="30">
        <f>F97</f>
        <v>9.65017</v>
      </c>
      <c r="E97" s="30">
        <f>F97</f>
        <v>9.65017</v>
      </c>
      <c r="F97" s="30">
        <f>ROUND(9.65017,5)</f>
        <v>9.65017</v>
      </c>
      <c r="G97" s="26"/>
      <c r="H97" s="42"/>
    </row>
    <row r="98" spans="1:8" ht="12.75" customHeight="1">
      <c r="A98" s="27">
        <v>43867</v>
      </c>
      <c r="B98" s="28"/>
      <c r="C98" s="30">
        <f>ROUND(9.465,5)</f>
        <v>9.465</v>
      </c>
      <c r="D98" s="30">
        <f>F98</f>
        <v>9.72514</v>
      </c>
      <c r="E98" s="30">
        <f>F98</f>
        <v>9.72514</v>
      </c>
      <c r="F98" s="30">
        <f>ROUND(9.72514,5)</f>
        <v>9.72514</v>
      </c>
      <c r="G98" s="26"/>
      <c r="H98" s="42"/>
    </row>
    <row r="99" spans="1:8" ht="12.75" customHeight="1">
      <c r="A99" s="27" t="s">
        <v>36</v>
      </c>
      <c r="B99" s="28"/>
      <c r="C99" s="29"/>
      <c r="D99" s="29"/>
      <c r="E99" s="29"/>
      <c r="F99" s="29"/>
      <c r="G99" s="26"/>
      <c r="H99" s="42"/>
    </row>
    <row r="100" spans="1:8" ht="12.75" customHeight="1">
      <c r="A100" s="27">
        <v>43503</v>
      </c>
      <c r="B100" s="28"/>
      <c r="C100" s="30">
        <f>ROUND(103.99156,5)</f>
        <v>103.99156</v>
      </c>
      <c r="D100" s="30">
        <f>F100</f>
        <v>104.2614</v>
      </c>
      <c r="E100" s="30">
        <f>F100</f>
        <v>104.2614</v>
      </c>
      <c r="F100" s="30">
        <f>ROUND(104.2614,5)</f>
        <v>104.2614</v>
      </c>
      <c r="G100" s="26"/>
      <c r="H100" s="42"/>
    </row>
    <row r="101" spans="1:8" ht="12.75" customHeight="1">
      <c r="A101" s="27">
        <v>43587</v>
      </c>
      <c r="B101" s="28"/>
      <c r="C101" s="30">
        <f>ROUND(103.99156,5)</f>
        <v>103.99156</v>
      </c>
      <c r="D101" s="30">
        <f>F101</f>
        <v>104.92707</v>
      </c>
      <c r="E101" s="30">
        <f>F101</f>
        <v>104.92707</v>
      </c>
      <c r="F101" s="30">
        <f>ROUND(104.92707,5)</f>
        <v>104.92707</v>
      </c>
      <c r="G101" s="26"/>
      <c r="H101" s="42"/>
    </row>
    <row r="102" spans="1:8" ht="12.75" customHeight="1">
      <c r="A102" s="27">
        <v>43678</v>
      </c>
      <c r="B102" s="28"/>
      <c r="C102" s="30">
        <f>ROUND(103.99156,5)</f>
        <v>103.99156</v>
      </c>
      <c r="D102" s="30">
        <f>F102</f>
        <v>106.97682</v>
      </c>
      <c r="E102" s="30">
        <f>F102</f>
        <v>106.97682</v>
      </c>
      <c r="F102" s="30">
        <f>ROUND(106.97682,5)</f>
        <v>106.97682</v>
      </c>
      <c r="G102" s="26"/>
      <c r="H102" s="42"/>
    </row>
    <row r="103" spans="1:8" ht="12.75" customHeight="1">
      <c r="A103" s="27">
        <v>43776</v>
      </c>
      <c r="B103" s="28"/>
      <c r="C103" s="30">
        <f>ROUND(103.99156,5)</f>
        <v>103.99156</v>
      </c>
      <c r="D103" s="30">
        <f>F103</f>
        <v>109.25131</v>
      </c>
      <c r="E103" s="30">
        <f>F103</f>
        <v>109.25131</v>
      </c>
      <c r="F103" s="30">
        <f>ROUND(109.25131,5)</f>
        <v>109.25131</v>
      </c>
      <c r="G103" s="26"/>
      <c r="H103" s="42"/>
    </row>
    <row r="104" spans="1:8" ht="12.75" customHeight="1">
      <c r="A104" s="27">
        <v>43867</v>
      </c>
      <c r="B104" s="28"/>
      <c r="C104" s="30">
        <f>ROUND(103.99156,5)</f>
        <v>103.99156</v>
      </c>
      <c r="D104" s="30">
        <f>F104</f>
        <v>111.28189</v>
      </c>
      <c r="E104" s="30">
        <f>F104</f>
        <v>111.28189</v>
      </c>
      <c r="F104" s="30">
        <f>ROUND(111.28189,5)</f>
        <v>111.28189</v>
      </c>
      <c r="G104" s="26"/>
      <c r="H104" s="42"/>
    </row>
    <row r="105" spans="1:8" ht="12.75" customHeight="1">
      <c r="A105" s="27" t="s">
        <v>37</v>
      </c>
      <c r="B105" s="28"/>
      <c r="C105" s="29"/>
      <c r="D105" s="29"/>
      <c r="E105" s="29"/>
      <c r="F105" s="29"/>
      <c r="G105" s="26"/>
      <c r="H105" s="42"/>
    </row>
    <row r="106" spans="1:8" ht="12.75" customHeight="1">
      <c r="A106" s="27">
        <v>43503</v>
      </c>
      <c r="B106" s="28"/>
      <c r="C106" s="30">
        <f>ROUND(9.685,5)</f>
        <v>9.685</v>
      </c>
      <c r="D106" s="30">
        <f>F106</f>
        <v>9.69469</v>
      </c>
      <c r="E106" s="30">
        <f>F106</f>
        <v>9.69469</v>
      </c>
      <c r="F106" s="30">
        <f>ROUND(9.69469,5)</f>
        <v>9.69469</v>
      </c>
      <c r="G106" s="26"/>
      <c r="H106" s="42"/>
    </row>
    <row r="107" spans="1:8" ht="12.75" customHeight="1">
      <c r="A107" s="27">
        <v>43587</v>
      </c>
      <c r="B107" s="28"/>
      <c r="C107" s="30">
        <f>ROUND(9.685,5)</f>
        <v>9.685</v>
      </c>
      <c r="D107" s="30">
        <f>F107</f>
        <v>9.75398</v>
      </c>
      <c r="E107" s="30">
        <f>F107</f>
        <v>9.75398</v>
      </c>
      <c r="F107" s="30">
        <f>ROUND(9.75398,5)</f>
        <v>9.75398</v>
      </c>
      <c r="G107" s="26"/>
      <c r="H107" s="42"/>
    </row>
    <row r="108" spans="1:8" ht="12.75" customHeight="1">
      <c r="A108" s="27">
        <v>43678</v>
      </c>
      <c r="B108" s="28"/>
      <c r="C108" s="30">
        <f>ROUND(9.685,5)</f>
        <v>9.685</v>
      </c>
      <c r="D108" s="30">
        <f>F108</f>
        <v>9.81291</v>
      </c>
      <c r="E108" s="30">
        <f>F108</f>
        <v>9.81291</v>
      </c>
      <c r="F108" s="30">
        <f>ROUND(9.81291,5)</f>
        <v>9.81291</v>
      </c>
      <c r="G108" s="26"/>
      <c r="H108" s="42"/>
    </row>
    <row r="109" spans="1:8" ht="12.75" customHeight="1">
      <c r="A109" s="27">
        <v>43776</v>
      </c>
      <c r="B109" s="28"/>
      <c r="C109" s="30">
        <f>ROUND(9.685,5)</f>
        <v>9.685</v>
      </c>
      <c r="D109" s="30">
        <f>F109</f>
        <v>9.87012</v>
      </c>
      <c r="E109" s="30">
        <f>F109</f>
        <v>9.87012</v>
      </c>
      <c r="F109" s="30">
        <f>ROUND(9.87012,5)</f>
        <v>9.87012</v>
      </c>
      <c r="G109" s="26"/>
      <c r="H109" s="42"/>
    </row>
    <row r="110" spans="1:8" ht="12.75" customHeight="1">
      <c r="A110" s="27">
        <v>43867</v>
      </c>
      <c r="B110" s="28"/>
      <c r="C110" s="30">
        <f>ROUND(9.685,5)</f>
        <v>9.685</v>
      </c>
      <c r="D110" s="30">
        <f>F110</f>
        <v>9.94107</v>
      </c>
      <c r="E110" s="30">
        <f>F110</f>
        <v>9.94107</v>
      </c>
      <c r="F110" s="30">
        <f>ROUND(9.94107,5)</f>
        <v>9.94107</v>
      </c>
      <c r="G110" s="26"/>
      <c r="H110" s="42"/>
    </row>
    <row r="111" spans="1:8" ht="12.75" customHeight="1">
      <c r="A111" s="27" t="s">
        <v>38</v>
      </c>
      <c r="B111" s="28"/>
      <c r="C111" s="29"/>
      <c r="D111" s="29"/>
      <c r="E111" s="29"/>
      <c r="F111" s="29"/>
      <c r="G111" s="26"/>
      <c r="H111" s="42"/>
    </row>
    <row r="112" spans="1:8" ht="12.75" customHeight="1">
      <c r="A112" s="27">
        <v>43503</v>
      </c>
      <c r="B112" s="28"/>
      <c r="C112" s="30">
        <f>ROUND(3.21,5)</f>
        <v>3.21</v>
      </c>
      <c r="D112" s="30">
        <f>F112</f>
        <v>122.06506</v>
      </c>
      <c r="E112" s="30">
        <f>F112</f>
        <v>122.06506</v>
      </c>
      <c r="F112" s="30">
        <f>ROUND(122.06506,5)</f>
        <v>122.06506</v>
      </c>
      <c r="G112" s="26"/>
      <c r="H112" s="42"/>
    </row>
    <row r="113" spans="1:8" ht="12.75" customHeight="1">
      <c r="A113" s="27">
        <v>43587</v>
      </c>
      <c r="B113" s="28"/>
      <c r="C113" s="30">
        <f>ROUND(3.21,5)</f>
        <v>3.21</v>
      </c>
      <c r="D113" s="30">
        <f>F113</f>
        <v>124.18503</v>
      </c>
      <c r="E113" s="30">
        <f>F113</f>
        <v>124.18503</v>
      </c>
      <c r="F113" s="30">
        <f>ROUND(124.18503,5)</f>
        <v>124.18503</v>
      </c>
      <c r="G113" s="26"/>
      <c r="H113" s="42"/>
    </row>
    <row r="114" spans="1:8" ht="12.75" customHeight="1">
      <c r="A114" s="27">
        <v>43678</v>
      </c>
      <c r="B114" s="28"/>
      <c r="C114" s="30">
        <f>ROUND(3.21,5)</f>
        <v>3.21</v>
      </c>
      <c r="D114" s="30">
        <f>F114</f>
        <v>126.5583</v>
      </c>
      <c r="E114" s="30">
        <f>F114</f>
        <v>126.5583</v>
      </c>
      <c r="F114" s="30">
        <f>ROUND(126.5583,5)</f>
        <v>126.5583</v>
      </c>
      <c r="G114" s="26"/>
      <c r="H114" s="42"/>
    </row>
    <row r="115" spans="1:8" ht="12.75" customHeight="1">
      <c r="A115" s="27">
        <v>43776</v>
      </c>
      <c r="B115" s="28"/>
      <c r="C115" s="30">
        <f>ROUND(3.21,5)</f>
        <v>3.21</v>
      </c>
      <c r="D115" s="30">
        <f>F115</f>
        <v>129.24912</v>
      </c>
      <c r="E115" s="30">
        <f>F115</f>
        <v>129.24912</v>
      </c>
      <c r="F115" s="30">
        <f>ROUND(129.24912,5)</f>
        <v>129.24912</v>
      </c>
      <c r="G115" s="26"/>
      <c r="H115" s="42"/>
    </row>
    <row r="116" spans="1:8" ht="12.75" customHeight="1">
      <c r="A116" s="27">
        <v>43867</v>
      </c>
      <c r="B116" s="28"/>
      <c r="C116" s="30">
        <f>ROUND(3.21,5)</f>
        <v>3.21</v>
      </c>
      <c r="D116" s="30">
        <f>F116</f>
        <v>131.6515</v>
      </c>
      <c r="E116" s="30">
        <f>F116</f>
        <v>131.6515</v>
      </c>
      <c r="F116" s="30">
        <f>ROUND(131.6515,5)</f>
        <v>131.6515</v>
      </c>
      <c r="G116" s="26"/>
      <c r="H116" s="42"/>
    </row>
    <row r="117" spans="1:8" ht="12.75" customHeight="1">
      <c r="A117" s="27" t="s">
        <v>39</v>
      </c>
      <c r="B117" s="28"/>
      <c r="C117" s="29"/>
      <c r="D117" s="29"/>
      <c r="E117" s="29"/>
      <c r="F117" s="29"/>
      <c r="G117" s="26"/>
      <c r="H117" s="42"/>
    </row>
    <row r="118" spans="1:8" ht="12.75" customHeight="1">
      <c r="A118" s="27">
        <v>43503</v>
      </c>
      <c r="B118" s="28"/>
      <c r="C118" s="30">
        <f>ROUND(9.745,5)</f>
        <v>9.745</v>
      </c>
      <c r="D118" s="30">
        <f>F118</f>
        <v>9.75456</v>
      </c>
      <c r="E118" s="30">
        <f>F118</f>
        <v>9.75456</v>
      </c>
      <c r="F118" s="30">
        <f>ROUND(9.75456,5)</f>
        <v>9.75456</v>
      </c>
      <c r="G118" s="26"/>
      <c r="H118" s="42"/>
    </row>
    <row r="119" spans="1:8" ht="12.75" customHeight="1">
      <c r="A119" s="27">
        <v>43587</v>
      </c>
      <c r="B119" s="28"/>
      <c r="C119" s="30">
        <f>ROUND(9.745,5)</f>
        <v>9.745</v>
      </c>
      <c r="D119" s="30">
        <f>F119</f>
        <v>9.81312</v>
      </c>
      <c r="E119" s="30">
        <f>F119</f>
        <v>9.81312</v>
      </c>
      <c r="F119" s="30">
        <f>ROUND(9.81312,5)</f>
        <v>9.81312</v>
      </c>
      <c r="G119" s="26"/>
      <c r="H119" s="42"/>
    </row>
    <row r="120" spans="1:8" ht="12.75" customHeight="1">
      <c r="A120" s="27">
        <v>43678</v>
      </c>
      <c r="B120" s="28"/>
      <c r="C120" s="30">
        <f>ROUND(9.745,5)</f>
        <v>9.745</v>
      </c>
      <c r="D120" s="30">
        <f>F120</f>
        <v>9.87143</v>
      </c>
      <c r="E120" s="30">
        <f>F120</f>
        <v>9.87143</v>
      </c>
      <c r="F120" s="30">
        <f>ROUND(9.87143,5)</f>
        <v>9.87143</v>
      </c>
      <c r="G120" s="26"/>
      <c r="H120" s="42"/>
    </row>
    <row r="121" spans="1:8" ht="12.75" customHeight="1">
      <c r="A121" s="27">
        <v>43776</v>
      </c>
      <c r="B121" s="28"/>
      <c r="C121" s="30">
        <f>ROUND(9.745,5)</f>
        <v>9.745</v>
      </c>
      <c r="D121" s="30">
        <f>F121</f>
        <v>9.92807</v>
      </c>
      <c r="E121" s="30">
        <f>F121</f>
        <v>9.92807</v>
      </c>
      <c r="F121" s="30">
        <f>ROUND(9.92807,5)</f>
        <v>9.92807</v>
      </c>
      <c r="G121" s="26"/>
      <c r="H121" s="42"/>
    </row>
    <row r="122" spans="1:8" ht="12.75" customHeight="1">
      <c r="A122" s="27">
        <v>43867</v>
      </c>
      <c r="B122" s="28"/>
      <c r="C122" s="30">
        <f>ROUND(9.745,5)</f>
        <v>9.745</v>
      </c>
      <c r="D122" s="30">
        <f>F122</f>
        <v>9.99776</v>
      </c>
      <c r="E122" s="30">
        <f>F122</f>
        <v>9.99776</v>
      </c>
      <c r="F122" s="30">
        <f>ROUND(9.99776,5)</f>
        <v>9.99776</v>
      </c>
      <c r="G122" s="26"/>
      <c r="H122" s="42"/>
    </row>
    <row r="123" spans="1:8" ht="12.75" customHeight="1">
      <c r="A123" s="27" t="s">
        <v>40</v>
      </c>
      <c r="B123" s="28"/>
      <c r="C123" s="29"/>
      <c r="D123" s="29"/>
      <c r="E123" s="29"/>
      <c r="F123" s="29"/>
      <c r="G123" s="26"/>
      <c r="H123" s="42"/>
    </row>
    <row r="124" spans="1:8" ht="12.75" customHeight="1">
      <c r="A124" s="27">
        <v>43503</v>
      </c>
      <c r="B124" s="28"/>
      <c r="C124" s="30">
        <f>ROUND(9.77,5)</f>
        <v>9.77</v>
      </c>
      <c r="D124" s="30">
        <f>F124</f>
        <v>9.77919</v>
      </c>
      <c r="E124" s="30">
        <f>F124</f>
        <v>9.77919</v>
      </c>
      <c r="F124" s="30">
        <f>ROUND(9.77919,5)</f>
        <v>9.77919</v>
      </c>
      <c r="G124" s="26"/>
      <c r="H124" s="42"/>
    </row>
    <row r="125" spans="1:8" ht="12.75" customHeight="1">
      <c r="A125" s="27">
        <v>43587</v>
      </c>
      <c r="B125" s="28"/>
      <c r="C125" s="30">
        <f>ROUND(9.77,5)</f>
        <v>9.77</v>
      </c>
      <c r="D125" s="30">
        <f>F125</f>
        <v>9.83547</v>
      </c>
      <c r="E125" s="30">
        <f>F125</f>
        <v>9.83547</v>
      </c>
      <c r="F125" s="30">
        <f>ROUND(9.83547,5)</f>
        <v>9.83547</v>
      </c>
      <c r="G125" s="26"/>
      <c r="H125" s="42"/>
    </row>
    <row r="126" spans="1:8" ht="12.75" customHeight="1">
      <c r="A126" s="27">
        <v>43678</v>
      </c>
      <c r="B126" s="28"/>
      <c r="C126" s="30">
        <f>ROUND(9.77,5)</f>
        <v>9.77</v>
      </c>
      <c r="D126" s="30">
        <f>F126</f>
        <v>9.89148</v>
      </c>
      <c r="E126" s="30">
        <f>F126</f>
        <v>9.89148</v>
      </c>
      <c r="F126" s="30">
        <f>ROUND(9.89148,5)</f>
        <v>9.89148</v>
      </c>
      <c r="G126" s="26"/>
      <c r="H126" s="42"/>
    </row>
    <row r="127" spans="1:8" ht="12.75" customHeight="1">
      <c r="A127" s="27">
        <v>43776</v>
      </c>
      <c r="B127" s="28"/>
      <c r="C127" s="30">
        <f>ROUND(9.77,5)</f>
        <v>9.77</v>
      </c>
      <c r="D127" s="30">
        <f>F127</f>
        <v>9.9458</v>
      </c>
      <c r="E127" s="30">
        <f>F127</f>
        <v>9.9458</v>
      </c>
      <c r="F127" s="30">
        <f>ROUND(9.9458,5)</f>
        <v>9.9458</v>
      </c>
      <c r="G127" s="26"/>
      <c r="H127" s="42"/>
    </row>
    <row r="128" spans="1:8" ht="12.75" customHeight="1">
      <c r="A128" s="27">
        <v>43867</v>
      </c>
      <c r="B128" s="28"/>
      <c r="C128" s="30">
        <f>ROUND(9.77,5)</f>
        <v>9.77</v>
      </c>
      <c r="D128" s="30">
        <f>F128</f>
        <v>10.01235</v>
      </c>
      <c r="E128" s="30">
        <f>F128</f>
        <v>10.01235</v>
      </c>
      <c r="F128" s="30">
        <f>ROUND(10.01235,5)</f>
        <v>10.01235</v>
      </c>
      <c r="G128" s="26"/>
      <c r="H128" s="42"/>
    </row>
    <row r="129" spans="1:8" ht="12.75" customHeight="1">
      <c r="A129" s="27" t="s">
        <v>41</v>
      </c>
      <c r="B129" s="28"/>
      <c r="C129" s="29"/>
      <c r="D129" s="29"/>
      <c r="E129" s="29"/>
      <c r="F129" s="29"/>
      <c r="G129" s="26"/>
      <c r="H129" s="42"/>
    </row>
    <row r="130" spans="1:8" ht="12.75" customHeight="1">
      <c r="A130" s="27">
        <v>43503</v>
      </c>
      <c r="B130" s="28"/>
      <c r="C130" s="30">
        <f>ROUND(116.01843,5)</f>
        <v>116.01843</v>
      </c>
      <c r="D130" s="30">
        <f>F130</f>
        <v>116.3195</v>
      </c>
      <c r="E130" s="30">
        <f>F130</f>
        <v>116.3195</v>
      </c>
      <c r="F130" s="30">
        <f>ROUND(116.3195,5)</f>
        <v>116.3195</v>
      </c>
      <c r="G130" s="26"/>
      <c r="H130" s="42"/>
    </row>
    <row r="131" spans="1:8" ht="12.75" customHeight="1">
      <c r="A131" s="27">
        <v>43587</v>
      </c>
      <c r="B131" s="28"/>
      <c r="C131" s="30">
        <f>ROUND(116.01843,5)</f>
        <v>116.01843</v>
      </c>
      <c r="D131" s="30">
        <f>F131</f>
        <v>116.65395</v>
      </c>
      <c r="E131" s="30">
        <f>F131</f>
        <v>116.65395</v>
      </c>
      <c r="F131" s="30">
        <f>ROUND(116.65395,5)</f>
        <v>116.65395</v>
      </c>
      <c r="G131" s="26"/>
      <c r="H131" s="42"/>
    </row>
    <row r="132" spans="1:8" ht="12.75" customHeight="1">
      <c r="A132" s="27">
        <v>43678</v>
      </c>
      <c r="B132" s="28"/>
      <c r="C132" s="30">
        <f>ROUND(116.01843,5)</f>
        <v>116.01843</v>
      </c>
      <c r="D132" s="30">
        <f>F132</f>
        <v>118.93283</v>
      </c>
      <c r="E132" s="30">
        <f>F132</f>
        <v>118.93283</v>
      </c>
      <c r="F132" s="30">
        <f>ROUND(118.93283,5)</f>
        <v>118.93283</v>
      </c>
      <c r="G132" s="26"/>
      <c r="H132" s="42"/>
    </row>
    <row r="133" spans="1:8" ht="12.75" customHeight="1">
      <c r="A133" s="27">
        <v>43776</v>
      </c>
      <c r="B133" s="28"/>
      <c r="C133" s="30">
        <f>ROUND(116.01843,5)</f>
        <v>116.01843</v>
      </c>
      <c r="D133" s="30">
        <f>F133</f>
        <v>121.46152</v>
      </c>
      <c r="E133" s="30">
        <f>F133</f>
        <v>121.46152</v>
      </c>
      <c r="F133" s="30">
        <f>ROUND(121.46152,5)</f>
        <v>121.46152</v>
      </c>
      <c r="G133" s="26"/>
      <c r="H133" s="42"/>
    </row>
    <row r="134" spans="1:8" ht="12.75" customHeight="1">
      <c r="A134" s="27">
        <v>43867</v>
      </c>
      <c r="B134" s="28"/>
      <c r="C134" s="30">
        <f>ROUND(116.01843,5)</f>
        <v>116.01843</v>
      </c>
      <c r="D134" s="30">
        <f>F134</f>
        <v>123.71878</v>
      </c>
      <c r="E134" s="30">
        <f>F134</f>
        <v>123.71878</v>
      </c>
      <c r="F134" s="30">
        <f>ROUND(123.71878,5)</f>
        <v>123.71878</v>
      </c>
      <c r="G134" s="26"/>
      <c r="H134" s="42"/>
    </row>
    <row r="135" spans="1:8" ht="12.75" customHeight="1">
      <c r="A135" s="27" t="s">
        <v>42</v>
      </c>
      <c r="B135" s="28"/>
      <c r="C135" s="29"/>
      <c r="D135" s="29"/>
      <c r="E135" s="29"/>
      <c r="F135" s="29"/>
      <c r="G135" s="26"/>
      <c r="H135" s="42"/>
    </row>
    <row r="136" spans="1:8" ht="12.75" customHeight="1">
      <c r="A136" s="27">
        <v>43503</v>
      </c>
      <c r="B136" s="28"/>
      <c r="C136" s="30">
        <f>ROUND(3.24,5)</f>
        <v>3.24</v>
      </c>
      <c r="D136" s="30">
        <f>F136</f>
        <v>120.7362</v>
      </c>
      <c r="E136" s="30">
        <f>F136</f>
        <v>120.7362</v>
      </c>
      <c r="F136" s="30">
        <f>ROUND(120.7362,5)</f>
        <v>120.7362</v>
      </c>
      <c r="G136" s="26"/>
      <c r="H136" s="42"/>
    </row>
    <row r="137" spans="1:8" ht="12.75" customHeight="1">
      <c r="A137" s="27">
        <v>43587</v>
      </c>
      <c r="B137" s="28"/>
      <c r="C137" s="30">
        <f>ROUND(3.24,5)</f>
        <v>3.24</v>
      </c>
      <c r="D137" s="30">
        <f>F137</f>
        <v>122.83311</v>
      </c>
      <c r="E137" s="30">
        <f>F137</f>
        <v>122.83311</v>
      </c>
      <c r="F137" s="30">
        <f>ROUND(122.83311,5)</f>
        <v>122.83311</v>
      </c>
      <c r="G137" s="26"/>
      <c r="H137" s="42"/>
    </row>
    <row r="138" spans="1:8" ht="12.75" customHeight="1">
      <c r="A138" s="27">
        <v>43678</v>
      </c>
      <c r="B138" s="28"/>
      <c r="C138" s="30">
        <f>ROUND(3.24,5)</f>
        <v>3.24</v>
      </c>
      <c r="D138" s="30">
        <f>F138</f>
        <v>123.4145</v>
      </c>
      <c r="E138" s="30">
        <f>F138</f>
        <v>123.4145</v>
      </c>
      <c r="F138" s="30">
        <f>ROUND(123.4145,5)</f>
        <v>123.4145</v>
      </c>
      <c r="G138" s="26"/>
      <c r="H138" s="42"/>
    </row>
    <row r="139" spans="1:8" ht="12.75" customHeight="1">
      <c r="A139" s="27">
        <v>43776</v>
      </c>
      <c r="B139" s="28"/>
      <c r="C139" s="30">
        <f>ROUND(3.24,5)</f>
        <v>3.24</v>
      </c>
      <c r="D139" s="30">
        <f>F139</f>
        <v>126.03848</v>
      </c>
      <c r="E139" s="30">
        <f>F139</f>
        <v>126.03848</v>
      </c>
      <c r="F139" s="30">
        <f>ROUND(126.03848,5)</f>
        <v>126.03848</v>
      </c>
      <c r="G139" s="26"/>
      <c r="H139" s="42"/>
    </row>
    <row r="140" spans="1:8" ht="12.75" customHeight="1">
      <c r="A140" s="27">
        <v>43867</v>
      </c>
      <c r="B140" s="28"/>
      <c r="C140" s="30">
        <f>ROUND(3.24,5)</f>
        <v>3.24</v>
      </c>
      <c r="D140" s="30">
        <f>F140</f>
        <v>128.38012</v>
      </c>
      <c r="E140" s="30">
        <f>F140</f>
        <v>128.38012</v>
      </c>
      <c r="F140" s="30">
        <f>ROUND(128.38012,5)</f>
        <v>128.38012</v>
      </c>
      <c r="G140" s="26"/>
      <c r="H140" s="42"/>
    </row>
    <row r="141" spans="1:8" ht="12.75" customHeight="1">
      <c r="A141" s="27" t="s">
        <v>43</v>
      </c>
      <c r="B141" s="28"/>
      <c r="C141" s="29"/>
      <c r="D141" s="29"/>
      <c r="E141" s="29"/>
      <c r="F141" s="29"/>
      <c r="G141" s="26"/>
      <c r="H141" s="42"/>
    </row>
    <row r="142" spans="1:8" ht="12.75" customHeight="1">
      <c r="A142" s="27">
        <v>43503</v>
      </c>
      <c r="B142" s="28"/>
      <c r="C142" s="30">
        <f>ROUND(3.88,5)</f>
        <v>3.88</v>
      </c>
      <c r="D142" s="30">
        <f>F142</f>
        <v>129.78739</v>
      </c>
      <c r="E142" s="30">
        <f>F142</f>
        <v>129.78739</v>
      </c>
      <c r="F142" s="30">
        <f>ROUND(129.78739,5)</f>
        <v>129.78739</v>
      </c>
      <c r="G142" s="26"/>
      <c r="H142" s="42"/>
    </row>
    <row r="143" spans="1:8" ht="12.75" customHeight="1">
      <c r="A143" s="27">
        <v>43587</v>
      </c>
      <c r="B143" s="28"/>
      <c r="C143" s="30">
        <f>ROUND(3.88,5)</f>
        <v>3.88</v>
      </c>
      <c r="D143" s="30">
        <f>F143</f>
        <v>130.19071</v>
      </c>
      <c r="E143" s="30">
        <f>F143</f>
        <v>130.19071</v>
      </c>
      <c r="F143" s="30">
        <f>ROUND(130.19071,5)</f>
        <v>130.19071</v>
      </c>
      <c r="G143" s="26"/>
      <c r="H143" s="42"/>
    </row>
    <row r="144" spans="1:8" ht="12.75" customHeight="1">
      <c r="A144" s="27">
        <v>43678</v>
      </c>
      <c r="B144" s="28"/>
      <c r="C144" s="30">
        <f>ROUND(3.88,5)</f>
        <v>3.88</v>
      </c>
      <c r="D144" s="30">
        <f>F144</f>
        <v>132.73428</v>
      </c>
      <c r="E144" s="30">
        <f>F144</f>
        <v>132.73428</v>
      </c>
      <c r="F144" s="30">
        <f>ROUND(132.73428,5)</f>
        <v>132.73428</v>
      </c>
      <c r="G144" s="26"/>
      <c r="H144" s="42"/>
    </row>
    <row r="145" spans="1:8" ht="12.75" customHeight="1">
      <c r="A145" s="27">
        <v>43776</v>
      </c>
      <c r="B145" s="28"/>
      <c r="C145" s="30">
        <f>ROUND(3.88,5)</f>
        <v>3.88</v>
      </c>
      <c r="D145" s="30">
        <f>F145</f>
        <v>135.55641</v>
      </c>
      <c r="E145" s="30">
        <f>F145</f>
        <v>135.55641</v>
      </c>
      <c r="F145" s="30">
        <f>ROUND(135.55641,5)</f>
        <v>135.55641</v>
      </c>
      <c r="G145" s="26"/>
      <c r="H145" s="42"/>
    </row>
    <row r="146" spans="1:8" ht="12.75" customHeight="1">
      <c r="A146" s="27">
        <v>43867</v>
      </c>
      <c r="B146" s="28"/>
      <c r="C146" s="30">
        <f>ROUND(3.88,5)</f>
        <v>3.88</v>
      </c>
      <c r="D146" s="30">
        <f>F146</f>
        <v>138.07538</v>
      </c>
      <c r="E146" s="30">
        <f>F146</f>
        <v>138.07538</v>
      </c>
      <c r="F146" s="30">
        <f>ROUND(138.07538,5)</f>
        <v>138.07538</v>
      </c>
      <c r="G146" s="26"/>
      <c r="H146" s="42"/>
    </row>
    <row r="147" spans="1:8" ht="12.75" customHeight="1">
      <c r="A147" s="27" t="s">
        <v>44</v>
      </c>
      <c r="B147" s="28"/>
      <c r="C147" s="29"/>
      <c r="D147" s="29"/>
      <c r="E147" s="29"/>
      <c r="F147" s="29"/>
      <c r="G147" s="26"/>
      <c r="H147" s="42"/>
    </row>
    <row r="148" spans="1:8" ht="12.75" customHeight="1">
      <c r="A148" s="27">
        <v>43503</v>
      </c>
      <c r="B148" s="28"/>
      <c r="C148" s="30">
        <f>ROUND(10.865,5)</f>
        <v>10.865</v>
      </c>
      <c r="D148" s="30">
        <f>F148</f>
        <v>10.88157</v>
      </c>
      <c r="E148" s="30">
        <f>F148</f>
        <v>10.88157</v>
      </c>
      <c r="F148" s="30">
        <f>ROUND(10.88157,5)</f>
        <v>10.88157</v>
      </c>
      <c r="G148" s="26"/>
      <c r="H148" s="42"/>
    </row>
    <row r="149" spans="1:8" ht="12.75" customHeight="1">
      <c r="A149" s="27">
        <v>43587</v>
      </c>
      <c r="B149" s="28"/>
      <c r="C149" s="30">
        <f>ROUND(10.865,5)</f>
        <v>10.865</v>
      </c>
      <c r="D149" s="30">
        <f>F149</f>
        <v>10.97948</v>
      </c>
      <c r="E149" s="30">
        <f>F149</f>
        <v>10.97948</v>
      </c>
      <c r="F149" s="30">
        <f>ROUND(10.97948,5)</f>
        <v>10.97948</v>
      </c>
      <c r="G149" s="26"/>
      <c r="H149" s="42"/>
    </row>
    <row r="150" spans="1:8" ht="12.75" customHeight="1">
      <c r="A150" s="27">
        <v>43678</v>
      </c>
      <c r="B150" s="28"/>
      <c r="C150" s="30">
        <f>ROUND(10.865,5)</f>
        <v>10.865</v>
      </c>
      <c r="D150" s="30">
        <f>F150</f>
        <v>11.07862</v>
      </c>
      <c r="E150" s="30">
        <f>F150</f>
        <v>11.07862</v>
      </c>
      <c r="F150" s="30">
        <f>ROUND(11.07862,5)</f>
        <v>11.07862</v>
      </c>
      <c r="G150" s="26"/>
      <c r="H150" s="42"/>
    </row>
    <row r="151" spans="1:8" ht="12.75" customHeight="1">
      <c r="A151" s="27">
        <v>43776</v>
      </c>
      <c r="B151" s="28"/>
      <c r="C151" s="30">
        <f>ROUND(10.865,5)</f>
        <v>10.865</v>
      </c>
      <c r="D151" s="30">
        <f>F151</f>
        <v>11.18945</v>
      </c>
      <c r="E151" s="30">
        <f>F151</f>
        <v>11.18945</v>
      </c>
      <c r="F151" s="30">
        <f>ROUND(11.18945,5)</f>
        <v>11.18945</v>
      </c>
      <c r="G151" s="26"/>
      <c r="H151" s="42"/>
    </row>
    <row r="152" spans="1:8" ht="12.75" customHeight="1">
      <c r="A152" s="27">
        <v>43867</v>
      </c>
      <c r="B152" s="28"/>
      <c r="C152" s="30">
        <f>ROUND(10.865,5)</f>
        <v>10.865</v>
      </c>
      <c r="D152" s="30">
        <f>F152</f>
        <v>11.31557</v>
      </c>
      <c r="E152" s="30">
        <f>F152</f>
        <v>11.31557</v>
      </c>
      <c r="F152" s="30">
        <f>ROUND(11.31557,5)</f>
        <v>11.31557</v>
      </c>
      <c r="G152" s="26"/>
      <c r="H152" s="42"/>
    </row>
    <row r="153" spans="1:8" ht="12.75" customHeight="1">
      <c r="A153" s="27" t="s">
        <v>45</v>
      </c>
      <c r="B153" s="28"/>
      <c r="C153" s="29"/>
      <c r="D153" s="29"/>
      <c r="E153" s="29"/>
      <c r="F153" s="29"/>
      <c r="G153" s="26"/>
      <c r="H153" s="42"/>
    </row>
    <row r="154" spans="1:8" ht="12.75" customHeight="1">
      <c r="A154" s="27">
        <v>43503</v>
      </c>
      <c r="B154" s="28"/>
      <c r="C154" s="30">
        <f>ROUND(11.095,5)</f>
        <v>11.095</v>
      </c>
      <c r="D154" s="30">
        <f>F154</f>
        <v>11.1106</v>
      </c>
      <c r="E154" s="30">
        <f>F154</f>
        <v>11.1106</v>
      </c>
      <c r="F154" s="30">
        <f>ROUND(11.1106,5)</f>
        <v>11.1106</v>
      </c>
      <c r="G154" s="26"/>
      <c r="H154" s="42"/>
    </row>
    <row r="155" spans="1:8" ht="12.75" customHeight="1">
      <c r="A155" s="27">
        <v>43587</v>
      </c>
      <c r="B155" s="28"/>
      <c r="C155" s="30">
        <f>ROUND(11.095,5)</f>
        <v>11.095</v>
      </c>
      <c r="D155" s="30">
        <f>F155</f>
        <v>11.20801</v>
      </c>
      <c r="E155" s="30">
        <f>F155</f>
        <v>11.20801</v>
      </c>
      <c r="F155" s="30">
        <f>ROUND(11.20801,5)</f>
        <v>11.20801</v>
      </c>
      <c r="G155" s="26"/>
      <c r="H155" s="42"/>
    </row>
    <row r="156" spans="1:8" ht="12.75" customHeight="1">
      <c r="A156" s="27">
        <v>43678</v>
      </c>
      <c r="B156" s="28"/>
      <c r="C156" s="30">
        <f>ROUND(11.095,5)</f>
        <v>11.095</v>
      </c>
      <c r="D156" s="30">
        <f>F156</f>
        <v>11.30492</v>
      </c>
      <c r="E156" s="30">
        <f>F156</f>
        <v>11.30492</v>
      </c>
      <c r="F156" s="30">
        <f>ROUND(11.30492,5)</f>
        <v>11.30492</v>
      </c>
      <c r="G156" s="26"/>
      <c r="H156" s="42"/>
    </row>
    <row r="157" spans="1:8" ht="12.75" customHeight="1">
      <c r="A157" s="27">
        <v>43776</v>
      </c>
      <c r="B157" s="28"/>
      <c r="C157" s="30">
        <f>ROUND(11.095,5)</f>
        <v>11.095</v>
      </c>
      <c r="D157" s="30">
        <f>F157</f>
        <v>11.41274</v>
      </c>
      <c r="E157" s="30">
        <f>F157</f>
        <v>11.41274</v>
      </c>
      <c r="F157" s="30">
        <f>ROUND(11.41274,5)</f>
        <v>11.41274</v>
      </c>
      <c r="G157" s="26"/>
      <c r="H157" s="42"/>
    </row>
    <row r="158" spans="1:8" ht="12.75" customHeight="1">
      <c r="A158" s="27">
        <v>43867</v>
      </c>
      <c r="B158" s="28"/>
      <c r="C158" s="30">
        <f>ROUND(11.095,5)</f>
        <v>11.095</v>
      </c>
      <c r="D158" s="30">
        <f>F158</f>
        <v>11.52976</v>
      </c>
      <c r="E158" s="30">
        <f>F158</f>
        <v>11.52976</v>
      </c>
      <c r="F158" s="30">
        <f>ROUND(11.52976,5)</f>
        <v>11.52976</v>
      </c>
      <c r="G158" s="26"/>
      <c r="H158" s="42"/>
    </row>
    <row r="159" spans="1:8" ht="12.75" customHeight="1">
      <c r="A159" s="27" t="s">
        <v>46</v>
      </c>
      <c r="B159" s="28"/>
      <c r="C159" s="29"/>
      <c r="D159" s="29"/>
      <c r="E159" s="29"/>
      <c r="F159" s="29"/>
      <c r="G159" s="26"/>
      <c r="H159" s="42"/>
    </row>
    <row r="160" spans="1:8" ht="12.75" customHeight="1">
      <c r="A160" s="27">
        <v>43503</v>
      </c>
      <c r="B160" s="28"/>
      <c r="C160" s="30">
        <f>ROUND(7.875,5)</f>
        <v>7.875</v>
      </c>
      <c r="D160" s="30">
        <f>F160</f>
        <v>7.8816</v>
      </c>
      <c r="E160" s="30">
        <f>F160</f>
        <v>7.8816</v>
      </c>
      <c r="F160" s="30">
        <f>ROUND(7.8816,5)</f>
        <v>7.8816</v>
      </c>
      <c r="G160" s="26"/>
      <c r="H160" s="42"/>
    </row>
    <row r="161" spans="1:8" ht="12.75" customHeight="1">
      <c r="A161" s="27">
        <v>43587</v>
      </c>
      <c r="B161" s="28"/>
      <c r="C161" s="30">
        <f>ROUND(7.875,5)</f>
        <v>7.875</v>
      </c>
      <c r="D161" s="30">
        <f>F161</f>
        <v>7.90393</v>
      </c>
      <c r="E161" s="30">
        <f>F161</f>
        <v>7.90393</v>
      </c>
      <c r="F161" s="30">
        <f>ROUND(7.90393,5)</f>
        <v>7.90393</v>
      </c>
      <c r="G161" s="26"/>
      <c r="H161" s="42"/>
    </row>
    <row r="162" spans="1:8" ht="12.75" customHeight="1">
      <c r="A162" s="27">
        <v>43678</v>
      </c>
      <c r="B162" s="28"/>
      <c r="C162" s="30">
        <f>ROUND(7.875,5)</f>
        <v>7.875</v>
      </c>
      <c r="D162" s="30">
        <f>F162</f>
        <v>7.90579</v>
      </c>
      <c r="E162" s="30">
        <f>F162</f>
        <v>7.90579</v>
      </c>
      <c r="F162" s="30">
        <f>ROUND(7.90579,5)</f>
        <v>7.90579</v>
      </c>
      <c r="G162" s="26"/>
      <c r="H162" s="42"/>
    </row>
    <row r="163" spans="1:8" ht="12.75" customHeight="1">
      <c r="A163" s="27">
        <v>43776</v>
      </c>
      <c r="B163" s="28"/>
      <c r="C163" s="30">
        <f>ROUND(7.875,5)</f>
        <v>7.875</v>
      </c>
      <c r="D163" s="30">
        <f>F163</f>
        <v>7.90956</v>
      </c>
      <c r="E163" s="30">
        <f>F163</f>
        <v>7.90956</v>
      </c>
      <c r="F163" s="30">
        <f>ROUND(7.90956,5)</f>
        <v>7.90956</v>
      </c>
      <c r="G163" s="26"/>
      <c r="H163" s="42"/>
    </row>
    <row r="164" spans="1:8" ht="12.75" customHeight="1">
      <c r="A164" s="27">
        <v>43867</v>
      </c>
      <c r="B164" s="28"/>
      <c r="C164" s="30">
        <f>ROUND(7.875,5)</f>
        <v>7.875</v>
      </c>
      <c r="D164" s="30">
        <f>F164</f>
        <v>7.96144</v>
      </c>
      <c r="E164" s="30">
        <f>F164</f>
        <v>7.96144</v>
      </c>
      <c r="F164" s="30">
        <f>ROUND(7.96144,5)</f>
        <v>7.96144</v>
      </c>
      <c r="G164" s="26"/>
      <c r="H164" s="42"/>
    </row>
    <row r="165" spans="1:8" ht="12.75" customHeight="1">
      <c r="A165" s="27" t="s">
        <v>47</v>
      </c>
      <c r="B165" s="28"/>
      <c r="C165" s="29"/>
      <c r="D165" s="29"/>
      <c r="E165" s="29"/>
      <c r="F165" s="29"/>
      <c r="G165" s="26"/>
      <c r="H165" s="42"/>
    </row>
    <row r="166" spans="1:8" ht="12.75" customHeight="1">
      <c r="A166" s="27">
        <v>43503</v>
      </c>
      <c r="B166" s="28"/>
      <c r="C166" s="30">
        <f>ROUND(9.615,5)</f>
        <v>9.615</v>
      </c>
      <c r="D166" s="30">
        <f>F166</f>
        <v>9.62535</v>
      </c>
      <c r="E166" s="30">
        <f>F166</f>
        <v>9.62535</v>
      </c>
      <c r="F166" s="30">
        <f>ROUND(9.62535,5)</f>
        <v>9.62535</v>
      </c>
      <c r="G166" s="26"/>
      <c r="H166" s="42"/>
    </row>
    <row r="167" spans="1:8" ht="12.75" customHeight="1">
      <c r="A167" s="27">
        <v>43587</v>
      </c>
      <c r="B167" s="28"/>
      <c r="C167" s="30">
        <f>ROUND(9.615,5)</f>
        <v>9.615</v>
      </c>
      <c r="D167" s="30">
        <f>F167</f>
        <v>9.68236</v>
      </c>
      <c r="E167" s="30">
        <f>F167</f>
        <v>9.68236</v>
      </c>
      <c r="F167" s="30">
        <f>ROUND(9.68236,5)</f>
        <v>9.68236</v>
      </c>
      <c r="G167" s="26"/>
      <c r="H167" s="42"/>
    </row>
    <row r="168" spans="1:8" ht="12.75" customHeight="1">
      <c r="A168" s="27">
        <v>43678</v>
      </c>
      <c r="B168" s="28"/>
      <c r="C168" s="30">
        <f>ROUND(9.615,5)</f>
        <v>9.615</v>
      </c>
      <c r="D168" s="30">
        <f>F168</f>
        <v>9.73726</v>
      </c>
      <c r="E168" s="30">
        <f>F168</f>
        <v>9.73726</v>
      </c>
      <c r="F168" s="30">
        <f>ROUND(9.73726,5)</f>
        <v>9.73726</v>
      </c>
      <c r="G168" s="26"/>
      <c r="H168" s="42"/>
    </row>
    <row r="169" spans="1:8" ht="12.75" customHeight="1">
      <c r="A169" s="27">
        <v>43776</v>
      </c>
      <c r="B169" s="28"/>
      <c r="C169" s="30">
        <f>ROUND(9.615,5)</f>
        <v>9.615</v>
      </c>
      <c r="D169" s="30">
        <f>F169</f>
        <v>9.79946</v>
      </c>
      <c r="E169" s="30">
        <f>F169</f>
        <v>9.79946</v>
      </c>
      <c r="F169" s="30">
        <f>ROUND(9.79946,5)</f>
        <v>9.79946</v>
      </c>
      <c r="G169" s="26"/>
      <c r="H169" s="42"/>
    </row>
    <row r="170" spans="1:8" ht="12.75" customHeight="1">
      <c r="A170" s="27">
        <v>43867</v>
      </c>
      <c r="B170" s="28"/>
      <c r="C170" s="30">
        <f>ROUND(9.615,5)</f>
        <v>9.615</v>
      </c>
      <c r="D170" s="30">
        <f>F170</f>
        <v>9.87697</v>
      </c>
      <c r="E170" s="30">
        <f>F170</f>
        <v>9.87697</v>
      </c>
      <c r="F170" s="30">
        <f>ROUND(9.87697,5)</f>
        <v>9.87697</v>
      </c>
      <c r="G170" s="26"/>
      <c r="H170" s="42"/>
    </row>
    <row r="171" spans="1:8" ht="12.75" customHeight="1">
      <c r="A171" s="27" t="s">
        <v>48</v>
      </c>
      <c r="B171" s="28"/>
      <c r="C171" s="29"/>
      <c r="D171" s="29"/>
      <c r="E171" s="29"/>
      <c r="F171" s="29"/>
      <c r="G171" s="26"/>
      <c r="H171" s="42"/>
    </row>
    <row r="172" spans="1:8" ht="12.75" customHeight="1">
      <c r="A172" s="27">
        <v>43503</v>
      </c>
      <c r="B172" s="28"/>
      <c r="C172" s="30">
        <f>ROUND(8.705,5)</f>
        <v>8.705</v>
      </c>
      <c r="D172" s="30">
        <f>F172</f>
        <v>8.71411</v>
      </c>
      <c r="E172" s="30">
        <f>F172</f>
        <v>8.71411</v>
      </c>
      <c r="F172" s="30">
        <f>ROUND(8.71411,5)</f>
        <v>8.71411</v>
      </c>
      <c r="G172" s="26"/>
      <c r="H172" s="42"/>
    </row>
    <row r="173" spans="1:8" ht="12.75" customHeight="1">
      <c r="A173" s="27">
        <v>43587</v>
      </c>
      <c r="B173" s="28"/>
      <c r="C173" s="30">
        <f>ROUND(8.705,5)</f>
        <v>8.705</v>
      </c>
      <c r="D173" s="30">
        <f>F173</f>
        <v>8.76661</v>
      </c>
      <c r="E173" s="30">
        <f>F173</f>
        <v>8.76661</v>
      </c>
      <c r="F173" s="30">
        <f>ROUND(8.76661,5)</f>
        <v>8.76661</v>
      </c>
      <c r="G173" s="26"/>
      <c r="H173" s="42"/>
    </row>
    <row r="174" spans="1:8" ht="12.75" customHeight="1">
      <c r="A174" s="27">
        <v>43678</v>
      </c>
      <c r="B174" s="28"/>
      <c r="C174" s="30">
        <f>ROUND(8.705,5)</f>
        <v>8.705</v>
      </c>
      <c r="D174" s="30">
        <f>F174</f>
        <v>8.81213</v>
      </c>
      <c r="E174" s="30">
        <f>F174</f>
        <v>8.81213</v>
      </c>
      <c r="F174" s="30">
        <f>ROUND(8.81213,5)</f>
        <v>8.81213</v>
      </c>
      <c r="G174" s="26"/>
      <c r="H174" s="42"/>
    </row>
    <row r="175" spans="1:8" ht="12.75" customHeight="1">
      <c r="A175" s="27">
        <v>43776</v>
      </c>
      <c r="B175" s="28"/>
      <c r="C175" s="30">
        <f>ROUND(8.705,5)</f>
        <v>8.705</v>
      </c>
      <c r="D175" s="30">
        <f>F175</f>
        <v>8.8593</v>
      </c>
      <c r="E175" s="30">
        <f>F175</f>
        <v>8.8593</v>
      </c>
      <c r="F175" s="30">
        <f>ROUND(8.8593,5)</f>
        <v>8.8593</v>
      </c>
      <c r="G175" s="26"/>
      <c r="H175" s="42"/>
    </row>
    <row r="176" spans="1:8" ht="12.75" customHeight="1">
      <c r="A176" s="27">
        <v>43867</v>
      </c>
      <c r="B176" s="28"/>
      <c r="C176" s="30">
        <f>ROUND(8.705,5)</f>
        <v>8.705</v>
      </c>
      <c r="D176" s="30">
        <f>F176</f>
        <v>8.93111</v>
      </c>
      <c r="E176" s="30">
        <f>F176</f>
        <v>8.93111</v>
      </c>
      <c r="F176" s="30">
        <f>ROUND(8.93111,5)</f>
        <v>8.93111</v>
      </c>
      <c r="G176" s="26"/>
      <c r="H176" s="42"/>
    </row>
    <row r="177" spans="1:8" ht="12.75" customHeight="1">
      <c r="A177" s="27" t="s">
        <v>49</v>
      </c>
      <c r="B177" s="28"/>
      <c r="C177" s="29"/>
      <c r="D177" s="29"/>
      <c r="E177" s="29"/>
      <c r="F177" s="29"/>
      <c r="G177" s="26"/>
      <c r="H177" s="42"/>
    </row>
    <row r="178" spans="1:8" ht="12.75" customHeight="1">
      <c r="A178" s="27">
        <v>43503</v>
      </c>
      <c r="B178" s="28"/>
      <c r="C178" s="30">
        <f>ROUND(2.85,5)</f>
        <v>2.85</v>
      </c>
      <c r="D178" s="30">
        <f>F178</f>
        <v>300.25299</v>
      </c>
      <c r="E178" s="30">
        <f>F178</f>
        <v>300.25299</v>
      </c>
      <c r="F178" s="30">
        <f>ROUND(300.25299,5)</f>
        <v>300.25299</v>
      </c>
      <c r="G178" s="26"/>
      <c r="H178" s="42"/>
    </row>
    <row r="179" spans="1:8" ht="12.75" customHeight="1">
      <c r="A179" s="27">
        <v>43587</v>
      </c>
      <c r="B179" s="28"/>
      <c r="C179" s="30">
        <f>ROUND(2.85,5)</f>
        <v>2.85</v>
      </c>
      <c r="D179" s="30">
        <f>F179</f>
        <v>305.46739</v>
      </c>
      <c r="E179" s="30">
        <f>F179</f>
        <v>305.46739</v>
      </c>
      <c r="F179" s="30">
        <f>ROUND(305.46739,5)</f>
        <v>305.46739</v>
      </c>
      <c r="G179" s="26"/>
      <c r="H179" s="42"/>
    </row>
    <row r="180" spans="1:8" ht="12.75" customHeight="1">
      <c r="A180" s="27">
        <v>43678</v>
      </c>
      <c r="B180" s="28"/>
      <c r="C180" s="30">
        <f>ROUND(2.85,5)</f>
        <v>2.85</v>
      </c>
      <c r="D180" s="30">
        <f>F180</f>
        <v>303.87709</v>
      </c>
      <c r="E180" s="30">
        <f>F180</f>
        <v>303.87709</v>
      </c>
      <c r="F180" s="30">
        <f>ROUND(303.87709,5)</f>
        <v>303.87709</v>
      </c>
      <c r="G180" s="26"/>
      <c r="H180" s="42"/>
    </row>
    <row r="181" spans="1:8" ht="12.75" customHeight="1">
      <c r="A181" s="27">
        <v>43776</v>
      </c>
      <c r="B181" s="28"/>
      <c r="C181" s="30">
        <f>ROUND(2.85,5)</f>
        <v>2.85</v>
      </c>
      <c r="D181" s="30">
        <f>F181</f>
        <v>310.33798</v>
      </c>
      <c r="E181" s="30">
        <f>F181</f>
        <v>310.33798</v>
      </c>
      <c r="F181" s="30">
        <f>ROUND(310.33798,5)</f>
        <v>310.33798</v>
      </c>
      <c r="G181" s="26"/>
      <c r="H181" s="42"/>
    </row>
    <row r="182" spans="1:8" ht="12.75" customHeight="1">
      <c r="A182" s="27">
        <v>43867</v>
      </c>
      <c r="B182" s="28"/>
      <c r="C182" s="30">
        <f>ROUND(2.85,5)</f>
        <v>2.85</v>
      </c>
      <c r="D182" s="30">
        <f>F182</f>
        <v>316.10254</v>
      </c>
      <c r="E182" s="30">
        <f>F182</f>
        <v>316.10254</v>
      </c>
      <c r="F182" s="30">
        <f>ROUND(316.10254,5)</f>
        <v>316.10254</v>
      </c>
      <c r="G182" s="26"/>
      <c r="H182" s="42"/>
    </row>
    <row r="183" spans="1:8" ht="12.75" customHeight="1">
      <c r="A183" s="27" t="s">
        <v>50</v>
      </c>
      <c r="B183" s="28"/>
      <c r="C183" s="29"/>
      <c r="D183" s="29"/>
      <c r="E183" s="29"/>
      <c r="F183" s="29"/>
      <c r="G183" s="26"/>
      <c r="H183" s="42"/>
    </row>
    <row r="184" spans="1:8" ht="12.75" customHeight="1">
      <c r="A184" s="27">
        <v>43503</v>
      </c>
      <c r="B184" s="28"/>
      <c r="C184" s="30">
        <f>ROUND(3.14,5)</f>
        <v>3.14</v>
      </c>
      <c r="D184" s="30">
        <f>F184</f>
        <v>234.90681</v>
      </c>
      <c r="E184" s="30">
        <f>F184</f>
        <v>234.90681</v>
      </c>
      <c r="F184" s="30">
        <f>ROUND(234.90681,5)</f>
        <v>234.90681</v>
      </c>
      <c r="G184" s="26"/>
      <c r="H184" s="42"/>
    </row>
    <row r="185" spans="1:8" ht="12.75" customHeight="1">
      <c r="A185" s="27">
        <v>43587</v>
      </c>
      <c r="B185" s="28"/>
      <c r="C185" s="30">
        <f>ROUND(3.14,5)</f>
        <v>3.14</v>
      </c>
      <c r="D185" s="30">
        <f>F185</f>
        <v>238.98618</v>
      </c>
      <c r="E185" s="30">
        <f>F185</f>
        <v>238.98618</v>
      </c>
      <c r="F185" s="30">
        <f>ROUND(238.98618,5)</f>
        <v>238.98618</v>
      </c>
      <c r="G185" s="26"/>
      <c r="H185" s="42"/>
    </row>
    <row r="186" spans="1:8" ht="12.75" customHeight="1">
      <c r="A186" s="27">
        <v>43678</v>
      </c>
      <c r="B186" s="28"/>
      <c r="C186" s="30">
        <f>ROUND(3.14,5)</f>
        <v>3.14</v>
      </c>
      <c r="D186" s="30">
        <f>F186</f>
        <v>239.64058</v>
      </c>
      <c r="E186" s="30">
        <f>F186</f>
        <v>239.64058</v>
      </c>
      <c r="F186" s="30">
        <f>ROUND(239.64058,5)</f>
        <v>239.64058</v>
      </c>
      <c r="G186" s="26"/>
      <c r="H186" s="42"/>
    </row>
    <row r="187" spans="1:8" ht="12.75" customHeight="1">
      <c r="A187" s="27">
        <v>43776</v>
      </c>
      <c r="B187" s="28"/>
      <c r="C187" s="30">
        <f>ROUND(3.14,5)</f>
        <v>3.14</v>
      </c>
      <c r="D187" s="30">
        <f>F187</f>
        <v>244.7357</v>
      </c>
      <c r="E187" s="30">
        <f>F187</f>
        <v>244.7357</v>
      </c>
      <c r="F187" s="30">
        <f>ROUND(244.7357,5)</f>
        <v>244.7357</v>
      </c>
      <c r="G187" s="26"/>
      <c r="H187" s="42"/>
    </row>
    <row r="188" spans="1:8" ht="12.75" customHeight="1">
      <c r="A188" s="27">
        <v>43867</v>
      </c>
      <c r="B188" s="28"/>
      <c r="C188" s="30">
        <f>ROUND(3.14,5)</f>
        <v>3.14</v>
      </c>
      <c r="D188" s="30">
        <f>F188</f>
        <v>249.28269</v>
      </c>
      <c r="E188" s="30">
        <f>F188</f>
        <v>249.28269</v>
      </c>
      <c r="F188" s="30">
        <f>ROUND(249.28269,5)</f>
        <v>249.28269</v>
      </c>
      <c r="G188" s="26"/>
      <c r="H188" s="42"/>
    </row>
    <row r="189" spans="1:8" ht="12.75" customHeight="1">
      <c r="A189" s="27" t="s">
        <v>51</v>
      </c>
      <c r="B189" s="28"/>
      <c r="C189" s="29"/>
      <c r="D189" s="29"/>
      <c r="E189" s="29"/>
      <c r="F189" s="29"/>
      <c r="G189" s="26"/>
      <c r="H189" s="42"/>
    </row>
    <row r="190" spans="1:8" ht="12.75" customHeight="1">
      <c r="A190" s="27">
        <v>43503</v>
      </c>
      <c r="B190" s="28"/>
      <c r="C190" s="30">
        <f>ROUND(0,5)</f>
        <v>0</v>
      </c>
      <c r="D190" s="30">
        <f>F190</f>
        <v>1.03146</v>
      </c>
      <c r="E190" s="30">
        <f>F190</f>
        <v>1.03146</v>
      </c>
      <c r="F190" s="30">
        <f>ROUND(1.03146,5)</f>
        <v>1.03146</v>
      </c>
      <c r="G190" s="26"/>
      <c r="H190" s="42"/>
    </row>
    <row r="191" spans="1:8" ht="12.75" customHeight="1">
      <c r="A191" s="27" t="s">
        <v>52</v>
      </c>
      <c r="B191" s="28"/>
      <c r="C191" s="29"/>
      <c r="D191" s="29"/>
      <c r="E191" s="29"/>
      <c r="F191" s="29"/>
      <c r="G191" s="26"/>
      <c r="H191" s="42"/>
    </row>
    <row r="192" spans="1:8" ht="12.75" customHeight="1">
      <c r="A192" s="27">
        <v>43503</v>
      </c>
      <c r="B192" s="28"/>
      <c r="C192" s="30">
        <f>ROUND(0,5)</f>
        <v>0</v>
      </c>
      <c r="D192" s="30">
        <f>F192</f>
        <v>0</v>
      </c>
      <c r="E192" s="30">
        <f>F192</f>
        <v>0</v>
      </c>
      <c r="F192" s="30">
        <f>ROUND(0,5)</f>
        <v>0</v>
      </c>
      <c r="G192" s="26"/>
      <c r="H192" s="42"/>
    </row>
    <row r="193" spans="1:8" ht="12.75" customHeight="1">
      <c r="A193" s="27">
        <v>43587</v>
      </c>
      <c r="B193" s="28"/>
      <c r="C193" s="30">
        <f>ROUND(0,5)</f>
        <v>0</v>
      </c>
      <c r="D193" s="30">
        <f>F193</f>
        <v>0</v>
      </c>
      <c r="E193" s="30">
        <f>F193</f>
        <v>0</v>
      </c>
      <c r="F193" s="30">
        <f>ROUND(0,5)</f>
        <v>0</v>
      </c>
      <c r="G193" s="26"/>
      <c r="H193" s="42"/>
    </row>
    <row r="194" spans="1:8" ht="12.75" customHeight="1">
      <c r="A194" s="27">
        <v>43678</v>
      </c>
      <c r="B194" s="28"/>
      <c r="C194" s="30">
        <f>ROUND(0,5)</f>
        <v>0</v>
      </c>
      <c r="D194" s="30">
        <f>F194</f>
        <v>0</v>
      </c>
      <c r="E194" s="30">
        <f>F194</f>
        <v>0</v>
      </c>
      <c r="F194" s="30">
        <f>ROUND(0,5)</f>
        <v>0</v>
      </c>
      <c r="G194" s="26"/>
      <c r="H194" s="42"/>
    </row>
    <row r="195" spans="1:8" ht="12.75" customHeight="1">
      <c r="A195" s="27">
        <v>43776</v>
      </c>
      <c r="B195" s="28"/>
      <c r="C195" s="30">
        <f>ROUND(0,5)</f>
        <v>0</v>
      </c>
      <c r="D195" s="30">
        <f>F195</f>
        <v>0</v>
      </c>
      <c r="E195" s="30">
        <f>F195</f>
        <v>0</v>
      </c>
      <c r="F195" s="30">
        <f>ROUND(0,5)</f>
        <v>0</v>
      </c>
      <c r="G195" s="26"/>
      <c r="H195" s="42"/>
    </row>
    <row r="196" spans="1:8" ht="12.75" customHeight="1">
      <c r="A196" s="27">
        <v>43867</v>
      </c>
      <c r="B196" s="28"/>
      <c r="C196" s="30">
        <f>ROUND(0,5)</f>
        <v>0</v>
      </c>
      <c r="D196" s="30">
        <f>F196</f>
        <v>0</v>
      </c>
      <c r="E196" s="30">
        <f>F196</f>
        <v>0</v>
      </c>
      <c r="F196" s="30">
        <f>ROUND(0,5)</f>
        <v>0</v>
      </c>
      <c r="G196" s="26"/>
      <c r="H196" s="42"/>
    </row>
    <row r="197" spans="1:8" ht="12.75" customHeight="1">
      <c r="A197" s="27" t="s">
        <v>53</v>
      </c>
      <c r="B197" s="28"/>
      <c r="C197" s="29"/>
      <c r="D197" s="29"/>
      <c r="E197" s="29"/>
      <c r="F197" s="29"/>
      <c r="G197" s="26"/>
      <c r="H197" s="42"/>
    </row>
    <row r="198" spans="1:8" ht="12.75" customHeight="1">
      <c r="A198" s="27">
        <v>43503</v>
      </c>
      <c r="B198" s="28"/>
      <c r="C198" s="30">
        <f>ROUND(6.28,5)</f>
        <v>6.28</v>
      </c>
      <c r="D198" s="30">
        <f>F198</f>
        <v>6.24177</v>
      </c>
      <c r="E198" s="30">
        <f>F198</f>
        <v>6.24177</v>
      </c>
      <c r="F198" s="30">
        <f>ROUND(6.24177,5)</f>
        <v>6.24177</v>
      </c>
      <c r="G198" s="26"/>
      <c r="H198" s="42"/>
    </row>
    <row r="199" spans="1:8" ht="12.75" customHeight="1">
      <c r="A199" s="27">
        <v>43587</v>
      </c>
      <c r="B199" s="28"/>
      <c r="C199" s="30">
        <f>ROUND(6.28,5)</f>
        <v>6.28</v>
      </c>
      <c r="D199" s="30">
        <f>F199</f>
        <v>5.82397</v>
      </c>
      <c r="E199" s="30">
        <f>F199</f>
        <v>5.82397</v>
      </c>
      <c r="F199" s="30">
        <f>ROUND(5.82397,5)</f>
        <v>5.82397</v>
      </c>
      <c r="G199" s="26"/>
      <c r="H199" s="42"/>
    </row>
    <row r="200" spans="1:8" ht="12.75" customHeight="1">
      <c r="A200" s="27">
        <v>43678</v>
      </c>
      <c r="B200" s="28"/>
      <c r="C200" s="30">
        <f>ROUND(6.28,5)</f>
        <v>6.28</v>
      </c>
      <c r="D200" s="30">
        <f>F200</f>
        <v>4.64514</v>
      </c>
      <c r="E200" s="30">
        <f>F200</f>
        <v>4.64514</v>
      </c>
      <c r="F200" s="30">
        <f>ROUND(4.64514,5)</f>
        <v>4.64514</v>
      </c>
      <c r="G200" s="26"/>
      <c r="H200" s="42"/>
    </row>
    <row r="201" spans="1:8" ht="12.75" customHeight="1">
      <c r="A201" s="27">
        <v>43776</v>
      </c>
      <c r="B201" s="28"/>
      <c r="C201" s="30">
        <f>ROUND(6.28,5)</f>
        <v>6.28</v>
      </c>
      <c r="D201" s="30">
        <f>F201</f>
        <v>0</v>
      </c>
      <c r="E201" s="30">
        <f>F201</f>
        <v>0</v>
      </c>
      <c r="F201" s="30">
        <f>ROUND(0,5)</f>
        <v>0</v>
      </c>
      <c r="G201" s="26"/>
      <c r="H201" s="42"/>
    </row>
    <row r="202" spans="1:8" ht="12.75" customHeight="1">
      <c r="A202" s="27">
        <v>43867</v>
      </c>
      <c r="B202" s="28"/>
      <c r="C202" s="30">
        <f>ROUND(6.28,5)</f>
        <v>6.28</v>
      </c>
      <c r="D202" s="30">
        <f>F202</f>
        <v>0</v>
      </c>
      <c r="E202" s="30">
        <f>F202</f>
        <v>0</v>
      </c>
      <c r="F202" s="30">
        <f>ROUND(0,5)</f>
        <v>0</v>
      </c>
      <c r="G202" s="26"/>
      <c r="H202" s="42"/>
    </row>
    <row r="203" spans="1:8" ht="12.75" customHeight="1">
      <c r="A203" s="27" t="s">
        <v>54</v>
      </c>
      <c r="B203" s="28"/>
      <c r="C203" s="29"/>
      <c r="D203" s="29"/>
      <c r="E203" s="29"/>
      <c r="F203" s="29"/>
      <c r="G203" s="26"/>
      <c r="H203" s="42"/>
    </row>
    <row r="204" spans="1:8" ht="12.75" customHeight="1">
      <c r="A204" s="27">
        <v>43503</v>
      </c>
      <c r="B204" s="28"/>
      <c r="C204" s="30">
        <f>ROUND(7.045,5)</f>
        <v>7.045</v>
      </c>
      <c r="D204" s="30">
        <f>F204</f>
        <v>7.04063</v>
      </c>
      <c r="E204" s="30">
        <f>F204</f>
        <v>7.04063</v>
      </c>
      <c r="F204" s="30">
        <f>ROUND(7.04063,5)</f>
        <v>7.04063</v>
      </c>
      <c r="G204" s="26"/>
      <c r="H204" s="42"/>
    </row>
    <row r="205" spans="1:8" ht="12.75" customHeight="1">
      <c r="A205" s="27">
        <v>43587</v>
      </c>
      <c r="B205" s="28"/>
      <c r="C205" s="30">
        <f>ROUND(7.045,5)</f>
        <v>7.045</v>
      </c>
      <c r="D205" s="30">
        <f>F205</f>
        <v>6.97852</v>
      </c>
      <c r="E205" s="30">
        <f>F205</f>
        <v>6.97852</v>
      </c>
      <c r="F205" s="30">
        <f>ROUND(6.97852,5)</f>
        <v>6.97852</v>
      </c>
      <c r="G205" s="26"/>
      <c r="H205" s="42"/>
    </row>
    <row r="206" spans="1:8" ht="12.75" customHeight="1">
      <c r="A206" s="27">
        <v>43678</v>
      </c>
      <c r="B206" s="28"/>
      <c r="C206" s="30">
        <f>ROUND(7.045,5)</f>
        <v>7.045</v>
      </c>
      <c r="D206" s="30">
        <f>F206</f>
        <v>6.84138</v>
      </c>
      <c r="E206" s="30">
        <f>F206</f>
        <v>6.84138</v>
      </c>
      <c r="F206" s="30">
        <f>ROUND(6.84138,5)</f>
        <v>6.84138</v>
      </c>
      <c r="G206" s="26"/>
      <c r="H206" s="42"/>
    </row>
    <row r="207" spans="1:8" ht="12.75" customHeight="1">
      <c r="A207" s="27">
        <v>43776</v>
      </c>
      <c r="B207" s="28"/>
      <c r="C207" s="30">
        <f>ROUND(7.045,5)</f>
        <v>7.045</v>
      </c>
      <c r="D207" s="30">
        <f>F207</f>
        <v>6.62169</v>
      </c>
      <c r="E207" s="30">
        <f>F207</f>
        <v>6.62169</v>
      </c>
      <c r="F207" s="30">
        <f>ROUND(6.62169,5)</f>
        <v>6.62169</v>
      </c>
      <c r="G207" s="26"/>
      <c r="H207" s="42"/>
    </row>
    <row r="208" spans="1:8" ht="12.75" customHeight="1">
      <c r="A208" s="27">
        <v>43867</v>
      </c>
      <c r="B208" s="28"/>
      <c r="C208" s="30">
        <f>ROUND(7.045,5)</f>
        <v>7.045</v>
      </c>
      <c r="D208" s="30">
        <f>F208</f>
        <v>6.43491</v>
      </c>
      <c r="E208" s="30">
        <f>F208</f>
        <v>6.43491</v>
      </c>
      <c r="F208" s="30">
        <f>ROUND(6.43491,5)</f>
        <v>6.43491</v>
      </c>
      <c r="G208" s="26"/>
      <c r="H208" s="42"/>
    </row>
    <row r="209" spans="1:8" ht="12.75" customHeight="1">
      <c r="A209" s="27" t="s">
        <v>55</v>
      </c>
      <c r="B209" s="28"/>
      <c r="C209" s="29"/>
      <c r="D209" s="29"/>
      <c r="E209" s="29"/>
      <c r="F209" s="29"/>
      <c r="G209" s="26"/>
      <c r="H209" s="42"/>
    </row>
    <row r="210" spans="1:8" ht="12.75" customHeight="1">
      <c r="A210" s="27">
        <v>43503</v>
      </c>
      <c r="B210" s="28"/>
      <c r="C210" s="30">
        <f>ROUND(9.555,5)</f>
        <v>9.555</v>
      </c>
      <c r="D210" s="30">
        <f>F210</f>
        <v>9.56379</v>
      </c>
      <c r="E210" s="30">
        <f>F210</f>
        <v>9.56379</v>
      </c>
      <c r="F210" s="30">
        <f>ROUND(9.56379,5)</f>
        <v>9.56379</v>
      </c>
      <c r="G210" s="26"/>
      <c r="H210" s="42"/>
    </row>
    <row r="211" spans="1:8" ht="12.75" customHeight="1">
      <c r="A211" s="27">
        <v>43587</v>
      </c>
      <c r="B211" s="28"/>
      <c r="C211" s="30">
        <f>ROUND(9.555,5)</f>
        <v>9.555</v>
      </c>
      <c r="D211" s="30">
        <f>F211</f>
        <v>9.61527</v>
      </c>
      <c r="E211" s="30">
        <f>F211</f>
        <v>9.61527</v>
      </c>
      <c r="F211" s="30">
        <f>ROUND(9.61527,5)</f>
        <v>9.61527</v>
      </c>
      <c r="G211" s="26"/>
      <c r="H211" s="42"/>
    </row>
    <row r="212" spans="1:8" ht="12.75" customHeight="1">
      <c r="A212" s="27">
        <v>43678</v>
      </c>
      <c r="B212" s="28"/>
      <c r="C212" s="30">
        <f>ROUND(9.555,5)</f>
        <v>9.555</v>
      </c>
      <c r="D212" s="30">
        <f>F212</f>
        <v>9.66376</v>
      </c>
      <c r="E212" s="30">
        <f>F212</f>
        <v>9.66376</v>
      </c>
      <c r="F212" s="30">
        <f>ROUND(9.66376,5)</f>
        <v>9.66376</v>
      </c>
      <c r="G212" s="26"/>
      <c r="H212" s="42"/>
    </row>
    <row r="213" spans="1:8" ht="12.75" customHeight="1">
      <c r="A213" s="27">
        <v>43776</v>
      </c>
      <c r="B213" s="28"/>
      <c r="C213" s="30">
        <f>ROUND(9.555,5)</f>
        <v>9.555</v>
      </c>
      <c r="D213" s="30">
        <f>F213</f>
        <v>9.71569</v>
      </c>
      <c r="E213" s="30">
        <f>F213</f>
        <v>9.71569</v>
      </c>
      <c r="F213" s="30">
        <f>ROUND(9.71569,5)</f>
        <v>9.71569</v>
      </c>
      <c r="G213" s="26"/>
      <c r="H213" s="42"/>
    </row>
    <row r="214" spans="1:8" ht="12.75" customHeight="1">
      <c r="A214" s="27">
        <v>43867</v>
      </c>
      <c r="B214" s="28"/>
      <c r="C214" s="30">
        <f>ROUND(9.555,5)</f>
        <v>9.555</v>
      </c>
      <c r="D214" s="30">
        <f>F214</f>
        <v>9.77916</v>
      </c>
      <c r="E214" s="30">
        <f>F214</f>
        <v>9.77916</v>
      </c>
      <c r="F214" s="30">
        <f>ROUND(9.77916,5)</f>
        <v>9.77916</v>
      </c>
      <c r="G214" s="26"/>
      <c r="H214" s="42"/>
    </row>
    <row r="215" spans="1:8" ht="12.75" customHeight="1">
      <c r="A215" s="27" t="s">
        <v>56</v>
      </c>
      <c r="B215" s="28"/>
      <c r="C215" s="29"/>
      <c r="D215" s="29"/>
      <c r="E215" s="29"/>
      <c r="F215" s="29"/>
      <c r="G215" s="26"/>
      <c r="H215" s="42"/>
    </row>
    <row r="216" spans="1:8" ht="12.75" customHeight="1">
      <c r="A216" s="27">
        <v>43503</v>
      </c>
      <c r="B216" s="28"/>
      <c r="C216" s="30">
        <f>ROUND(3.1,5)</f>
        <v>3.1</v>
      </c>
      <c r="D216" s="30">
        <f>F216</f>
        <v>188.0537</v>
      </c>
      <c r="E216" s="30">
        <f>F216</f>
        <v>188.0537</v>
      </c>
      <c r="F216" s="30">
        <f>ROUND(188.0537,5)</f>
        <v>188.0537</v>
      </c>
      <c r="G216" s="26"/>
      <c r="H216" s="42"/>
    </row>
    <row r="217" spans="1:8" ht="12.75" customHeight="1">
      <c r="A217" s="27">
        <v>43587</v>
      </c>
      <c r="B217" s="28"/>
      <c r="C217" s="30">
        <f>ROUND(3.1,5)</f>
        <v>3.1</v>
      </c>
      <c r="D217" s="30">
        <f>F217</f>
        <v>188.7641</v>
      </c>
      <c r="E217" s="30">
        <f>F217</f>
        <v>188.7641</v>
      </c>
      <c r="F217" s="30">
        <f>ROUND(188.7641,5)</f>
        <v>188.7641</v>
      </c>
      <c r="G217" s="26"/>
      <c r="H217" s="42"/>
    </row>
    <row r="218" spans="1:8" ht="12.75" customHeight="1">
      <c r="A218" s="27">
        <v>43678</v>
      </c>
      <c r="B218" s="28"/>
      <c r="C218" s="30">
        <f>ROUND(3.1,5)</f>
        <v>3.1</v>
      </c>
      <c r="D218" s="30">
        <f>F218</f>
        <v>192.45187</v>
      </c>
      <c r="E218" s="30">
        <f>F218</f>
        <v>192.45187</v>
      </c>
      <c r="F218" s="30">
        <f>ROUND(192.45187,5)</f>
        <v>192.45187</v>
      </c>
      <c r="G218" s="26"/>
      <c r="H218" s="42"/>
    </row>
    <row r="219" spans="1:8" ht="12.75" customHeight="1">
      <c r="A219" s="27">
        <v>43776</v>
      </c>
      <c r="B219" s="28"/>
      <c r="C219" s="30">
        <f>ROUND(3.1,5)</f>
        <v>3.1</v>
      </c>
      <c r="D219" s="30">
        <f>F219</f>
        <v>196.54368</v>
      </c>
      <c r="E219" s="30">
        <f>F219</f>
        <v>196.54368</v>
      </c>
      <c r="F219" s="30">
        <f>ROUND(196.54368,5)</f>
        <v>196.54368</v>
      </c>
      <c r="G219" s="26"/>
      <c r="H219" s="42"/>
    </row>
    <row r="220" spans="1:8" ht="12.75" customHeight="1">
      <c r="A220" s="27">
        <v>43867</v>
      </c>
      <c r="B220" s="28"/>
      <c r="C220" s="30">
        <f>ROUND(3.1,5)</f>
        <v>3.1</v>
      </c>
      <c r="D220" s="30">
        <f>F220</f>
        <v>200.19633</v>
      </c>
      <c r="E220" s="30">
        <f>F220</f>
        <v>200.19633</v>
      </c>
      <c r="F220" s="30">
        <f>ROUND(200.19633,5)</f>
        <v>200.19633</v>
      </c>
      <c r="G220" s="26"/>
      <c r="H220" s="42"/>
    </row>
    <row r="221" spans="1:8" ht="12.75" customHeight="1">
      <c r="A221" s="27" t="s">
        <v>57</v>
      </c>
      <c r="B221" s="28"/>
      <c r="C221" s="29"/>
      <c r="D221" s="29"/>
      <c r="E221" s="29"/>
      <c r="F221" s="29"/>
      <c r="G221" s="26"/>
      <c r="H221" s="42"/>
    </row>
    <row r="222" spans="1:8" ht="12.75" customHeight="1">
      <c r="A222" s="27">
        <v>43503</v>
      </c>
      <c r="B222" s="28"/>
      <c r="C222" s="30">
        <f>ROUND(2.8,5)</f>
        <v>2.8</v>
      </c>
      <c r="D222" s="30">
        <f>F222</f>
        <v>156.29126</v>
      </c>
      <c r="E222" s="30">
        <f>F222</f>
        <v>156.29126</v>
      </c>
      <c r="F222" s="30">
        <f>ROUND(156.29126,5)</f>
        <v>156.29126</v>
      </c>
      <c r="G222" s="26"/>
      <c r="H222" s="42"/>
    </row>
    <row r="223" spans="1:8" ht="12.75" customHeight="1">
      <c r="A223" s="27">
        <v>43587</v>
      </c>
      <c r="B223" s="28"/>
      <c r="C223" s="30">
        <f>ROUND(2.8,5)</f>
        <v>2.8</v>
      </c>
      <c r="D223" s="30">
        <f>F223</f>
        <v>159.00554</v>
      </c>
      <c r="E223" s="30">
        <f>F223</f>
        <v>159.00554</v>
      </c>
      <c r="F223" s="30">
        <f>ROUND(159.00554,5)</f>
        <v>159.00554</v>
      </c>
      <c r="G223" s="26"/>
      <c r="H223" s="42"/>
    </row>
    <row r="224" spans="1:8" ht="12.75" customHeight="1">
      <c r="A224" s="27">
        <v>43678</v>
      </c>
      <c r="B224" s="28"/>
      <c r="C224" s="30">
        <f>ROUND(2.8,5)</f>
        <v>2.8</v>
      </c>
      <c r="D224" s="30">
        <f>F224</f>
        <v>162.0405</v>
      </c>
      <c r="E224" s="30">
        <f>F224</f>
        <v>162.0405</v>
      </c>
      <c r="F224" s="30">
        <f>ROUND(162.0405,5)</f>
        <v>162.0405</v>
      </c>
      <c r="G224" s="26"/>
      <c r="H224" s="42"/>
    </row>
    <row r="225" spans="1:8" ht="12.75" customHeight="1">
      <c r="A225" s="27">
        <v>43776</v>
      </c>
      <c r="B225" s="28"/>
      <c r="C225" s="30">
        <f>ROUND(2.8,5)</f>
        <v>2.8</v>
      </c>
      <c r="D225" s="30">
        <f>F225</f>
        <v>165.48573</v>
      </c>
      <c r="E225" s="30">
        <f>F225</f>
        <v>165.48573</v>
      </c>
      <c r="F225" s="30">
        <f>ROUND(165.48573,5)</f>
        <v>165.48573</v>
      </c>
      <c r="G225" s="26"/>
      <c r="H225" s="42"/>
    </row>
    <row r="226" spans="1:8" ht="12.75" customHeight="1">
      <c r="A226" s="27">
        <v>43867</v>
      </c>
      <c r="B226" s="28"/>
      <c r="C226" s="30">
        <f>ROUND(2.8,5)</f>
        <v>2.8</v>
      </c>
      <c r="D226" s="30">
        <f>F226</f>
        <v>168.56164</v>
      </c>
      <c r="E226" s="30">
        <f>F226</f>
        <v>168.56164</v>
      </c>
      <c r="F226" s="30">
        <f>ROUND(168.56164,5)</f>
        <v>168.56164</v>
      </c>
      <c r="G226" s="26"/>
      <c r="H226" s="42"/>
    </row>
    <row r="227" spans="1:8" ht="12.75" customHeight="1">
      <c r="A227" s="27" t="s">
        <v>58</v>
      </c>
      <c r="B227" s="28"/>
      <c r="C227" s="29"/>
      <c r="D227" s="29"/>
      <c r="E227" s="29"/>
      <c r="F227" s="29"/>
      <c r="G227" s="26"/>
      <c r="H227" s="42"/>
    </row>
    <row r="228" spans="1:8" ht="12.75" customHeight="1">
      <c r="A228" s="27">
        <v>43503</v>
      </c>
      <c r="B228" s="28"/>
      <c r="C228" s="30">
        <f>ROUND(9.345,5)</f>
        <v>9.345</v>
      </c>
      <c r="D228" s="30">
        <f>F228</f>
        <v>9.35492</v>
      </c>
      <c r="E228" s="30">
        <f>F228</f>
        <v>9.35492</v>
      </c>
      <c r="F228" s="30">
        <f>ROUND(9.35492,5)</f>
        <v>9.35492</v>
      </c>
      <c r="G228" s="26"/>
      <c r="H228" s="42"/>
    </row>
    <row r="229" spans="1:8" ht="12.75" customHeight="1">
      <c r="A229" s="27">
        <v>43587</v>
      </c>
      <c r="B229" s="28"/>
      <c r="C229" s="30">
        <f>ROUND(9.345,5)</f>
        <v>9.345</v>
      </c>
      <c r="D229" s="30">
        <f>F229</f>
        <v>9.40881</v>
      </c>
      <c r="E229" s="30">
        <f>F229</f>
        <v>9.40881</v>
      </c>
      <c r="F229" s="30">
        <f>ROUND(9.40881,5)</f>
        <v>9.40881</v>
      </c>
      <c r="G229" s="26"/>
      <c r="H229" s="42"/>
    </row>
    <row r="230" spans="1:8" ht="12.75" customHeight="1">
      <c r="A230" s="27">
        <v>43678</v>
      </c>
      <c r="B230" s="28"/>
      <c r="C230" s="30">
        <f>ROUND(9.345,5)</f>
        <v>9.345</v>
      </c>
      <c r="D230" s="30">
        <f>F230</f>
        <v>9.4596</v>
      </c>
      <c r="E230" s="30">
        <f>F230</f>
        <v>9.4596</v>
      </c>
      <c r="F230" s="30">
        <f>ROUND(9.4596,5)</f>
        <v>9.4596</v>
      </c>
      <c r="G230" s="26"/>
      <c r="H230" s="42"/>
    </row>
    <row r="231" spans="1:8" ht="12.75" customHeight="1">
      <c r="A231" s="27">
        <v>43776</v>
      </c>
      <c r="B231" s="28"/>
      <c r="C231" s="30">
        <f>ROUND(9.345,5)</f>
        <v>9.345</v>
      </c>
      <c r="D231" s="30">
        <f>F231</f>
        <v>9.51774</v>
      </c>
      <c r="E231" s="30">
        <f>F231</f>
        <v>9.51774</v>
      </c>
      <c r="F231" s="30">
        <f>ROUND(9.51774,5)</f>
        <v>9.51774</v>
      </c>
      <c r="G231" s="26"/>
      <c r="H231" s="42"/>
    </row>
    <row r="232" spans="1:8" ht="12.75" customHeight="1">
      <c r="A232" s="27">
        <v>43867</v>
      </c>
      <c r="B232" s="28"/>
      <c r="C232" s="30">
        <f>ROUND(9.345,5)</f>
        <v>9.345</v>
      </c>
      <c r="D232" s="30">
        <f>F232</f>
        <v>9.5932</v>
      </c>
      <c r="E232" s="30">
        <f>F232</f>
        <v>9.5932</v>
      </c>
      <c r="F232" s="30">
        <f>ROUND(9.5932,5)</f>
        <v>9.5932</v>
      </c>
      <c r="G232" s="26"/>
      <c r="H232" s="42"/>
    </row>
    <row r="233" spans="1:8" ht="12.75" customHeight="1">
      <c r="A233" s="27" t="s">
        <v>59</v>
      </c>
      <c r="B233" s="28"/>
      <c r="C233" s="29"/>
      <c r="D233" s="29"/>
      <c r="E233" s="29"/>
      <c r="F233" s="29"/>
      <c r="G233" s="26"/>
      <c r="H233" s="42"/>
    </row>
    <row r="234" spans="1:8" ht="12.75" customHeight="1">
      <c r="A234" s="27">
        <v>43503</v>
      </c>
      <c r="B234" s="28"/>
      <c r="C234" s="30">
        <f>ROUND(9.725,5)</f>
        <v>9.725</v>
      </c>
      <c r="D234" s="30">
        <f>F234</f>
        <v>9.73417</v>
      </c>
      <c r="E234" s="30">
        <f>F234</f>
        <v>9.73417</v>
      </c>
      <c r="F234" s="30">
        <f>ROUND(9.73417,5)</f>
        <v>9.73417</v>
      </c>
      <c r="G234" s="26"/>
      <c r="H234" s="42"/>
    </row>
    <row r="235" spans="1:8" ht="12.75" customHeight="1">
      <c r="A235" s="27">
        <v>43587</v>
      </c>
      <c r="B235" s="28"/>
      <c r="C235" s="30">
        <f>ROUND(9.725,5)</f>
        <v>9.725</v>
      </c>
      <c r="D235" s="30">
        <f>F235</f>
        <v>9.78481</v>
      </c>
      <c r="E235" s="30">
        <f>F235</f>
        <v>9.78481</v>
      </c>
      <c r="F235" s="30">
        <f>ROUND(9.78481,5)</f>
        <v>9.78481</v>
      </c>
      <c r="G235" s="26"/>
      <c r="H235" s="42"/>
    </row>
    <row r="236" spans="1:8" ht="12.75" customHeight="1">
      <c r="A236" s="27">
        <v>43678</v>
      </c>
      <c r="B236" s="28"/>
      <c r="C236" s="30">
        <f>ROUND(9.725,5)</f>
        <v>9.725</v>
      </c>
      <c r="D236" s="30">
        <f>F236</f>
        <v>9.83359</v>
      </c>
      <c r="E236" s="30">
        <f>F236</f>
        <v>9.83359</v>
      </c>
      <c r="F236" s="30">
        <f>ROUND(9.83359,5)</f>
        <v>9.83359</v>
      </c>
      <c r="G236" s="26"/>
      <c r="H236" s="42"/>
    </row>
    <row r="237" spans="1:8" ht="12.75" customHeight="1">
      <c r="A237" s="27">
        <v>43776</v>
      </c>
      <c r="B237" s="28"/>
      <c r="C237" s="30">
        <f>ROUND(9.725,5)</f>
        <v>9.725</v>
      </c>
      <c r="D237" s="30">
        <f>F237</f>
        <v>9.88839</v>
      </c>
      <c r="E237" s="30">
        <f>F237</f>
        <v>9.88839</v>
      </c>
      <c r="F237" s="30">
        <f>ROUND(9.88839,5)</f>
        <v>9.88839</v>
      </c>
      <c r="G237" s="26"/>
      <c r="H237" s="42"/>
    </row>
    <row r="238" spans="1:8" ht="12.75" customHeight="1">
      <c r="A238" s="27">
        <v>43867</v>
      </c>
      <c r="B238" s="28"/>
      <c r="C238" s="30">
        <f>ROUND(9.725,5)</f>
        <v>9.725</v>
      </c>
      <c r="D238" s="30">
        <f>F238</f>
        <v>9.95542</v>
      </c>
      <c r="E238" s="30">
        <f>F238</f>
        <v>9.95542</v>
      </c>
      <c r="F238" s="30">
        <f>ROUND(9.95542,5)</f>
        <v>9.95542</v>
      </c>
      <c r="G238" s="26"/>
      <c r="H238" s="42"/>
    </row>
    <row r="239" spans="1:8" ht="12.75" customHeight="1">
      <c r="A239" s="27" t="s">
        <v>60</v>
      </c>
      <c r="B239" s="28"/>
      <c r="C239" s="29"/>
      <c r="D239" s="29"/>
      <c r="E239" s="29"/>
      <c r="F239" s="29"/>
      <c r="G239" s="26"/>
      <c r="H239" s="42"/>
    </row>
    <row r="240" spans="1:8" ht="12.75" customHeight="1">
      <c r="A240" s="27">
        <v>43503</v>
      </c>
      <c r="B240" s="28"/>
      <c r="C240" s="30">
        <f>ROUND(9.75,5)</f>
        <v>9.75</v>
      </c>
      <c r="D240" s="30">
        <f>F240</f>
        <v>9.75925</v>
      </c>
      <c r="E240" s="30">
        <f>F240</f>
        <v>9.75925</v>
      </c>
      <c r="F240" s="30">
        <f>ROUND(9.75925,5)</f>
        <v>9.75925</v>
      </c>
      <c r="G240" s="26"/>
      <c r="H240" s="42"/>
    </row>
    <row r="241" spans="1:8" ht="12.75" customHeight="1">
      <c r="A241" s="27">
        <v>43587</v>
      </c>
      <c r="B241" s="28"/>
      <c r="C241" s="30">
        <f>ROUND(9.75,5)</f>
        <v>9.75</v>
      </c>
      <c r="D241" s="30">
        <f>F241</f>
        <v>9.81035</v>
      </c>
      <c r="E241" s="30">
        <f>F241</f>
        <v>9.81035</v>
      </c>
      <c r="F241" s="30">
        <f>ROUND(9.81035,5)</f>
        <v>9.81035</v>
      </c>
      <c r="G241" s="26"/>
      <c r="H241" s="42"/>
    </row>
    <row r="242" spans="1:8" ht="12.75" customHeight="1">
      <c r="A242" s="27">
        <v>43678</v>
      </c>
      <c r="B242" s="28"/>
      <c r="C242" s="30">
        <f>ROUND(9.75,5)</f>
        <v>9.75</v>
      </c>
      <c r="D242" s="30">
        <f>F242</f>
        <v>9.85966</v>
      </c>
      <c r="E242" s="30">
        <f>F242</f>
        <v>9.85966</v>
      </c>
      <c r="F242" s="30">
        <f>ROUND(9.85966,5)</f>
        <v>9.85966</v>
      </c>
      <c r="G242" s="26"/>
      <c r="H242" s="42"/>
    </row>
    <row r="243" spans="1:8" ht="12.75" customHeight="1">
      <c r="A243" s="27">
        <v>43776</v>
      </c>
      <c r="B243" s="28"/>
      <c r="C243" s="30">
        <f>ROUND(9.75,5)</f>
        <v>9.75</v>
      </c>
      <c r="D243" s="30">
        <f>F243</f>
        <v>9.91498</v>
      </c>
      <c r="E243" s="30">
        <f>F243</f>
        <v>9.91498</v>
      </c>
      <c r="F243" s="30">
        <f>ROUND(9.91498,5)</f>
        <v>9.91498</v>
      </c>
      <c r="G243" s="26"/>
      <c r="H243" s="42"/>
    </row>
    <row r="244" spans="1:8" ht="12.75" customHeight="1">
      <c r="A244" s="27">
        <v>43867</v>
      </c>
      <c r="B244" s="28"/>
      <c r="C244" s="30">
        <f>ROUND(9.75,5)</f>
        <v>9.75</v>
      </c>
      <c r="D244" s="30">
        <f>F244</f>
        <v>9.9825</v>
      </c>
      <c r="E244" s="30">
        <f>F244</f>
        <v>9.9825</v>
      </c>
      <c r="F244" s="30">
        <f>ROUND(9.9825,5)</f>
        <v>9.9825</v>
      </c>
      <c r="G244" s="26"/>
      <c r="H244" s="42"/>
    </row>
    <row r="245" spans="1:8" ht="12.75" customHeight="1">
      <c r="A245" s="27" t="s">
        <v>61</v>
      </c>
      <c r="B245" s="28"/>
      <c r="C245" s="29"/>
      <c r="D245" s="29"/>
      <c r="E245" s="29"/>
      <c r="F245" s="29"/>
      <c r="G245" s="26"/>
      <c r="H245" s="42"/>
    </row>
    <row r="246" spans="1:8" ht="12.75" customHeight="1">
      <c r="A246" s="27">
        <v>43516</v>
      </c>
      <c r="B246" s="28"/>
      <c r="C246" s="32">
        <f>ROUND(15.516,4)</f>
        <v>15.516</v>
      </c>
      <c r="D246" s="32">
        <f>F246</f>
        <v>15.5969</v>
      </c>
      <c r="E246" s="32">
        <f>F246</f>
        <v>15.5969</v>
      </c>
      <c r="F246" s="32">
        <f>ROUND(15.5969,4)</f>
        <v>15.5969</v>
      </c>
      <c r="G246" s="26"/>
      <c r="H246" s="42"/>
    </row>
    <row r="247" spans="1:8" ht="12.75" customHeight="1">
      <c r="A247" s="27">
        <v>43524</v>
      </c>
      <c r="B247" s="28"/>
      <c r="C247" s="32">
        <f>ROUND(15.516,4)</f>
        <v>15.516</v>
      </c>
      <c r="D247" s="32">
        <f>F247</f>
        <v>15.6219</v>
      </c>
      <c r="E247" s="32">
        <f>F247</f>
        <v>15.6219</v>
      </c>
      <c r="F247" s="32">
        <f>ROUND(15.6219,4)</f>
        <v>15.6219</v>
      </c>
      <c r="G247" s="26"/>
      <c r="H247" s="42"/>
    </row>
    <row r="248" spans="1:8" ht="12.75" customHeight="1">
      <c r="A248" s="27">
        <v>43553</v>
      </c>
      <c r="B248" s="28"/>
      <c r="C248" s="32">
        <f>ROUND(15.516,4)</f>
        <v>15.516</v>
      </c>
      <c r="D248" s="32">
        <f>F248</f>
        <v>15.7134</v>
      </c>
      <c r="E248" s="32">
        <f>F248</f>
        <v>15.7134</v>
      </c>
      <c r="F248" s="32">
        <f>ROUND(15.7134,4)</f>
        <v>15.7134</v>
      </c>
      <c r="G248" s="26"/>
      <c r="H248" s="42"/>
    </row>
    <row r="249" spans="1:8" ht="12.75" customHeight="1">
      <c r="A249" s="27">
        <v>43570</v>
      </c>
      <c r="B249" s="28"/>
      <c r="C249" s="32">
        <f>ROUND(15.516,4)</f>
        <v>15.516</v>
      </c>
      <c r="D249" s="32">
        <f>F249</f>
        <v>15.7687</v>
      </c>
      <c r="E249" s="32">
        <f>F249</f>
        <v>15.7687</v>
      </c>
      <c r="F249" s="32">
        <f>ROUND(15.7687,4)</f>
        <v>15.7687</v>
      </c>
      <c r="G249" s="26"/>
      <c r="H249" s="42"/>
    </row>
    <row r="250" spans="1:8" ht="12.75" customHeight="1">
      <c r="A250" s="27">
        <v>43581</v>
      </c>
      <c r="B250" s="28"/>
      <c r="C250" s="32">
        <f>ROUND(15.516,4)</f>
        <v>15.516</v>
      </c>
      <c r="D250" s="32">
        <f>F250</f>
        <v>15.8046</v>
      </c>
      <c r="E250" s="32">
        <f>F250</f>
        <v>15.8046</v>
      </c>
      <c r="F250" s="32">
        <f>ROUND(15.8046,4)</f>
        <v>15.8046</v>
      </c>
      <c r="G250" s="26"/>
      <c r="H250" s="42"/>
    </row>
    <row r="251" spans="1:8" ht="12.75" customHeight="1">
      <c r="A251" s="27">
        <v>43691</v>
      </c>
      <c r="B251" s="28"/>
      <c r="C251" s="32">
        <f>ROUND(15.516,4)</f>
        <v>15.516</v>
      </c>
      <c r="D251" s="32">
        <f>F251</f>
        <v>16.1691</v>
      </c>
      <c r="E251" s="32">
        <f>F251</f>
        <v>16.1691</v>
      </c>
      <c r="F251" s="32">
        <f>ROUND(16.1691,4)</f>
        <v>16.1691</v>
      </c>
      <c r="G251" s="26"/>
      <c r="H251" s="42"/>
    </row>
    <row r="252" spans="1:8" ht="12.75" customHeight="1">
      <c r="A252" s="27">
        <v>43880</v>
      </c>
      <c r="B252" s="28"/>
      <c r="C252" s="32">
        <f>ROUND(15.516,4)</f>
        <v>15.516</v>
      </c>
      <c r="D252" s="32">
        <f>F252</f>
        <v>16.1703</v>
      </c>
      <c r="E252" s="32">
        <f>F252</f>
        <v>16.1703</v>
      </c>
      <c r="F252" s="32">
        <f>ROUND(16.1703,4)</f>
        <v>16.1703</v>
      </c>
      <c r="G252" s="26"/>
      <c r="H252" s="42"/>
    </row>
    <row r="253" spans="1:8" ht="12.75" customHeight="1">
      <c r="A253" s="27">
        <v>46131</v>
      </c>
      <c r="B253" s="28"/>
      <c r="C253" s="32">
        <f>ROUND(15.516,4)</f>
        <v>15.516</v>
      </c>
      <c r="D253" s="32">
        <f>F253</f>
        <v>16.3876</v>
      </c>
      <c r="E253" s="32">
        <f>F253</f>
        <v>16.3876</v>
      </c>
      <c r="F253" s="32">
        <f>ROUND(16.3876,4)</f>
        <v>16.3876</v>
      </c>
      <c r="G253" s="26"/>
      <c r="H253" s="42"/>
    </row>
    <row r="254" spans="1:8" ht="12.75" customHeight="1">
      <c r="A254" s="27">
        <v>46802</v>
      </c>
      <c r="B254" s="28"/>
      <c r="C254" s="32">
        <f>ROUND(15.516,4)</f>
        <v>15.516</v>
      </c>
      <c r="D254" s="32">
        <f>F254</f>
        <v>16.1965</v>
      </c>
      <c r="E254" s="32">
        <f>F254</f>
        <v>16.1965</v>
      </c>
      <c r="F254" s="32">
        <f>ROUND(16.1965,4)</f>
        <v>16.1965</v>
      </c>
      <c r="G254" s="26"/>
      <c r="H254" s="42"/>
    </row>
    <row r="255" spans="1:8" ht="12.75" customHeight="1">
      <c r="A255" s="27">
        <v>47196</v>
      </c>
      <c r="B255" s="28"/>
      <c r="C255" s="32">
        <f>ROUND(15.516,4)</f>
        <v>15.516</v>
      </c>
      <c r="D255" s="32">
        <f>F255</f>
        <v>16.2927</v>
      </c>
      <c r="E255" s="32">
        <f>F255</f>
        <v>16.2927</v>
      </c>
      <c r="F255" s="32">
        <f>ROUND(16.2927,4)</f>
        <v>16.2927</v>
      </c>
      <c r="G255" s="26"/>
      <c r="H255" s="42"/>
    </row>
    <row r="256" spans="1:8" ht="12.75" customHeight="1">
      <c r="A256" s="27" t="s">
        <v>62</v>
      </c>
      <c r="B256" s="28"/>
      <c r="C256" s="29"/>
      <c r="D256" s="29"/>
      <c r="E256" s="29"/>
      <c r="F256" s="29"/>
      <c r="G256" s="26"/>
      <c r="H256" s="42"/>
    </row>
    <row r="257" spans="1:8" ht="12.75" customHeight="1">
      <c r="A257" s="27">
        <v>43496</v>
      </c>
      <c r="B257" s="28"/>
      <c r="C257" s="32">
        <f>ROUND(17.8979,4)</f>
        <v>17.8979</v>
      </c>
      <c r="D257" s="32">
        <f>F257</f>
        <v>17.9157</v>
      </c>
      <c r="E257" s="32">
        <f>F257</f>
        <v>17.9157</v>
      </c>
      <c r="F257" s="32">
        <f>ROUND(17.9157,4)</f>
        <v>17.9157</v>
      </c>
      <c r="G257" s="26"/>
      <c r="H257" s="42"/>
    </row>
    <row r="258" spans="1:8" ht="12.75" customHeight="1">
      <c r="A258" s="27">
        <v>43524</v>
      </c>
      <c r="B258" s="28"/>
      <c r="C258" s="32">
        <f>ROUND(17.8979,4)</f>
        <v>17.8979</v>
      </c>
      <c r="D258" s="32">
        <f>F258</f>
        <v>17.9999</v>
      </c>
      <c r="E258" s="32">
        <f>F258</f>
        <v>17.9999</v>
      </c>
      <c r="F258" s="32">
        <f>ROUND(17.9999,4)</f>
        <v>17.9999</v>
      </c>
      <c r="G258" s="26"/>
      <c r="H258" s="42"/>
    </row>
    <row r="259" spans="1:8" ht="12.75" customHeight="1">
      <c r="A259" s="27">
        <v>43553</v>
      </c>
      <c r="B259" s="28"/>
      <c r="C259" s="32">
        <f>ROUND(17.8979,4)</f>
        <v>17.8979</v>
      </c>
      <c r="D259" s="32">
        <f>F259</f>
        <v>18.0873</v>
      </c>
      <c r="E259" s="32">
        <f>F259</f>
        <v>18.0873</v>
      </c>
      <c r="F259" s="32">
        <f>ROUND(18.0873,4)</f>
        <v>18.0873</v>
      </c>
      <c r="G259" s="26"/>
      <c r="H259" s="42"/>
    </row>
    <row r="260" spans="1:8" ht="12.75" customHeight="1">
      <c r="A260" s="27">
        <v>43570</v>
      </c>
      <c r="B260" s="28"/>
      <c r="C260" s="32">
        <f>ROUND(17.8979,4)</f>
        <v>17.8979</v>
      </c>
      <c r="D260" s="32">
        <f>F260</f>
        <v>18.1395</v>
      </c>
      <c r="E260" s="32">
        <f>F260</f>
        <v>18.1395</v>
      </c>
      <c r="F260" s="32">
        <f>ROUND(18.1395,4)</f>
        <v>18.1395</v>
      </c>
      <c r="G260" s="26"/>
      <c r="H260" s="42"/>
    </row>
    <row r="261" spans="1:8" ht="12.75" customHeight="1">
      <c r="A261" s="27">
        <v>43581</v>
      </c>
      <c r="B261" s="28"/>
      <c r="C261" s="32">
        <f>ROUND(17.8979,4)</f>
        <v>17.8979</v>
      </c>
      <c r="D261" s="32">
        <f>F261</f>
        <v>18.1734</v>
      </c>
      <c r="E261" s="32">
        <f>F261</f>
        <v>18.1734</v>
      </c>
      <c r="F261" s="32">
        <f>ROUND(18.1734,4)</f>
        <v>18.1734</v>
      </c>
      <c r="G261" s="26"/>
      <c r="H261" s="42"/>
    </row>
    <row r="262" spans="1:8" ht="12.75" customHeight="1">
      <c r="A262" s="27">
        <v>46131</v>
      </c>
      <c r="B262" s="28"/>
      <c r="C262" s="32">
        <f>ROUND(17.8979,4)</f>
        <v>17.8979</v>
      </c>
      <c r="D262" s="32">
        <f>F262</f>
        <v>18.6026</v>
      </c>
      <c r="E262" s="32">
        <f>F262</f>
        <v>18.6026</v>
      </c>
      <c r="F262" s="32">
        <f>ROUND(18.6026,4)</f>
        <v>18.6026</v>
      </c>
      <c r="G262" s="26"/>
      <c r="H262" s="42"/>
    </row>
    <row r="263" spans="1:8" ht="12.75" customHeight="1">
      <c r="A263" s="27">
        <v>46802</v>
      </c>
      <c r="B263" s="28"/>
      <c r="C263" s="32">
        <f>ROUND(17.8979,4)</f>
        <v>17.8979</v>
      </c>
      <c r="D263" s="32">
        <f>F263</f>
        <v>18.4232</v>
      </c>
      <c r="E263" s="32">
        <f>F263</f>
        <v>18.4232</v>
      </c>
      <c r="F263" s="32">
        <f>ROUND(18.4232,4)</f>
        <v>18.4232</v>
      </c>
      <c r="G263" s="26"/>
      <c r="H263" s="42"/>
    </row>
    <row r="264" spans="1:8" ht="12.75" customHeight="1">
      <c r="A264" s="27">
        <v>47196</v>
      </c>
      <c r="B264" s="28"/>
      <c r="C264" s="32">
        <f>ROUND(17.8979,4)</f>
        <v>17.8979</v>
      </c>
      <c r="D264" s="32">
        <f>F264</f>
        <v>18.5138</v>
      </c>
      <c r="E264" s="32">
        <f>F264</f>
        <v>18.5138</v>
      </c>
      <c r="F264" s="32">
        <f>ROUND(18.5138,4)</f>
        <v>18.5138</v>
      </c>
      <c r="G264" s="26"/>
      <c r="H264" s="42"/>
    </row>
    <row r="265" spans="1:8" ht="12.75" customHeight="1">
      <c r="A265" s="27" t="s">
        <v>63</v>
      </c>
      <c r="B265" s="28"/>
      <c r="C265" s="29"/>
      <c r="D265" s="29"/>
      <c r="E265" s="29"/>
      <c r="F265" s="29"/>
      <c r="G265" s="26"/>
      <c r="H265" s="42"/>
    </row>
    <row r="266" spans="1:8" ht="12.75" customHeight="1">
      <c r="A266" s="27">
        <v>43490</v>
      </c>
      <c r="B266" s="28"/>
      <c r="C266" s="32">
        <f>ROUND(13.6281,4)</f>
        <v>13.6281</v>
      </c>
      <c r="D266" s="32">
        <f>F266</f>
        <v>13.6281</v>
      </c>
      <c r="E266" s="32">
        <f>F266</f>
        <v>13.6281</v>
      </c>
      <c r="F266" s="32">
        <f>ROUND(13.6281,4)</f>
        <v>13.6281</v>
      </c>
      <c r="G266" s="26"/>
      <c r="H266" s="42"/>
    </row>
    <row r="267" spans="1:8" ht="12.75" customHeight="1">
      <c r="A267" s="27">
        <v>43495</v>
      </c>
      <c r="B267" s="28"/>
      <c r="C267" s="32">
        <f>ROUND(13.6281,4)</f>
        <v>13.6281</v>
      </c>
      <c r="D267" s="32">
        <f>F267</f>
        <v>13.6359</v>
      </c>
      <c r="E267" s="32">
        <f>F267</f>
        <v>13.6359</v>
      </c>
      <c r="F267" s="32">
        <f>ROUND(13.6359,4)</f>
        <v>13.6359</v>
      </c>
      <c r="G267" s="26"/>
      <c r="H267" s="42"/>
    </row>
    <row r="268" spans="1:8" ht="12.75" customHeight="1">
      <c r="A268" s="27">
        <v>43496</v>
      </c>
      <c r="B268" s="28"/>
      <c r="C268" s="32">
        <f>ROUND(13.6281,4)</f>
        <v>13.6281</v>
      </c>
      <c r="D268" s="32">
        <f>F268</f>
        <v>13.6374</v>
      </c>
      <c r="E268" s="32">
        <f>F268</f>
        <v>13.6374</v>
      </c>
      <c r="F268" s="32">
        <f>ROUND(13.6374,4)</f>
        <v>13.6374</v>
      </c>
      <c r="G268" s="26"/>
      <c r="H268" s="42"/>
    </row>
    <row r="269" spans="1:8" ht="12.75" customHeight="1">
      <c r="A269" s="27">
        <v>43509</v>
      </c>
      <c r="B269" s="28"/>
      <c r="C269" s="32">
        <f>ROUND(13.6281,4)</f>
        <v>13.6281</v>
      </c>
      <c r="D269" s="32">
        <f>F269</f>
        <v>13.6582</v>
      </c>
      <c r="E269" s="32">
        <f>F269</f>
        <v>13.6582</v>
      </c>
      <c r="F269" s="32">
        <f>ROUND(13.6582,4)</f>
        <v>13.6582</v>
      </c>
      <c r="G269" s="26"/>
      <c r="H269" s="42"/>
    </row>
    <row r="270" spans="1:8" ht="12.75" customHeight="1">
      <c r="A270" s="27">
        <v>43511</v>
      </c>
      <c r="B270" s="28"/>
      <c r="C270" s="32">
        <f>ROUND(13.6281,4)</f>
        <v>13.6281</v>
      </c>
      <c r="D270" s="32">
        <f>F270</f>
        <v>13.6614</v>
      </c>
      <c r="E270" s="32">
        <f>F270</f>
        <v>13.6614</v>
      </c>
      <c r="F270" s="32">
        <f>ROUND(13.6614,4)</f>
        <v>13.6614</v>
      </c>
      <c r="G270" s="26"/>
      <c r="H270" s="42"/>
    </row>
    <row r="271" spans="1:8" ht="12.75" customHeight="1">
      <c r="A271" s="27">
        <v>43521</v>
      </c>
      <c r="B271" s="28"/>
      <c r="C271" s="32">
        <f>ROUND(13.6281,4)</f>
        <v>13.6281</v>
      </c>
      <c r="D271" s="32">
        <f>F271</f>
        <v>13.6773</v>
      </c>
      <c r="E271" s="32">
        <f>F271</f>
        <v>13.6773</v>
      </c>
      <c r="F271" s="32">
        <f>ROUND(13.6773,4)</f>
        <v>13.6773</v>
      </c>
      <c r="G271" s="26"/>
      <c r="H271" s="42"/>
    </row>
    <row r="272" spans="1:8" ht="12.75" customHeight="1">
      <c r="A272" s="27">
        <v>43522</v>
      </c>
      <c r="B272" s="28"/>
      <c r="C272" s="32">
        <f>ROUND(13.6281,4)</f>
        <v>13.6281</v>
      </c>
      <c r="D272" s="32">
        <f>F272</f>
        <v>13.6789</v>
      </c>
      <c r="E272" s="32">
        <f>F272</f>
        <v>13.6789</v>
      </c>
      <c r="F272" s="32">
        <f>ROUND(13.6789,4)</f>
        <v>13.6789</v>
      </c>
      <c r="G272" s="26"/>
      <c r="H272" s="42"/>
    </row>
    <row r="273" spans="1:8" ht="12.75" customHeight="1">
      <c r="A273" s="27">
        <v>43524</v>
      </c>
      <c r="B273" s="28"/>
      <c r="C273" s="32">
        <f>ROUND(13.6281,4)</f>
        <v>13.6281</v>
      </c>
      <c r="D273" s="32">
        <f>F273</f>
        <v>13.6821</v>
      </c>
      <c r="E273" s="32">
        <f>F273</f>
        <v>13.6821</v>
      </c>
      <c r="F273" s="32">
        <f>ROUND(13.6821,4)</f>
        <v>13.6821</v>
      </c>
      <c r="G273" s="26"/>
      <c r="H273" s="42"/>
    </row>
    <row r="274" spans="1:8" ht="12.75" customHeight="1">
      <c r="A274" s="27">
        <v>43528</v>
      </c>
      <c r="B274" s="28"/>
      <c r="C274" s="32">
        <f>ROUND(13.6281,4)</f>
        <v>13.6281</v>
      </c>
      <c r="D274" s="32">
        <f>F274</f>
        <v>13.6885</v>
      </c>
      <c r="E274" s="32">
        <f>F274</f>
        <v>13.6885</v>
      </c>
      <c r="F274" s="32">
        <f>ROUND(13.6885,4)</f>
        <v>13.6885</v>
      </c>
      <c r="G274" s="26"/>
      <c r="H274" s="42"/>
    </row>
    <row r="275" spans="1:8" ht="12.75" customHeight="1">
      <c r="A275" s="27">
        <v>43529</v>
      </c>
      <c r="B275" s="28"/>
      <c r="C275" s="32">
        <f>ROUND(13.6281,4)</f>
        <v>13.6281</v>
      </c>
      <c r="D275" s="32">
        <f>F275</f>
        <v>13.6901</v>
      </c>
      <c r="E275" s="32">
        <f>F275</f>
        <v>13.6901</v>
      </c>
      <c r="F275" s="32">
        <f>ROUND(13.6901,4)</f>
        <v>13.6901</v>
      </c>
      <c r="G275" s="26"/>
      <c r="H275" s="42"/>
    </row>
    <row r="276" spans="1:8" ht="12.75" customHeight="1">
      <c r="A276" s="27">
        <v>43535</v>
      </c>
      <c r="B276" s="28"/>
      <c r="C276" s="32">
        <f>ROUND(13.6281,4)</f>
        <v>13.6281</v>
      </c>
      <c r="D276" s="32">
        <f>F276</f>
        <v>13.6997</v>
      </c>
      <c r="E276" s="32">
        <f>F276</f>
        <v>13.6997</v>
      </c>
      <c r="F276" s="32">
        <f>ROUND(13.6997,4)</f>
        <v>13.6997</v>
      </c>
      <c r="G276" s="26"/>
      <c r="H276" s="42"/>
    </row>
    <row r="277" spans="1:8" ht="12.75" customHeight="1">
      <c r="A277" s="27">
        <v>43551</v>
      </c>
      <c r="B277" s="28"/>
      <c r="C277" s="32">
        <f>ROUND(13.6281,4)</f>
        <v>13.6281</v>
      </c>
      <c r="D277" s="32">
        <f>F277</f>
        <v>13.7253</v>
      </c>
      <c r="E277" s="32">
        <f>F277</f>
        <v>13.7253</v>
      </c>
      <c r="F277" s="32">
        <f>ROUND(13.7253,4)</f>
        <v>13.7253</v>
      </c>
      <c r="G277" s="26"/>
      <c r="H277" s="42"/>
    </row>
    <row r="278" spans="1:8" ht="12.75" customHeight="1">
      <c r="A278" s="27">
        <v>43553</v>
      </c>
      <c r="B278" s="28"/>
      <c r="C278" s="32">
        <f>ROUND(13.6281,4)</f>
        <v>13.6281</v>
      </c>
      <c r="D278" s="32">
        <f>F278</f>
        <v>13.7285</v>
      </c>
      <c r="E278" s="32">
        <f>F278</f>
        <v>13.7285</v>
      </c>
      <c r="F278" s="32">
        <f>ROUND(13.7285,4)</f>
        <v>13.7285</v>
      </c>
      <c r="G278" s="26"/>
      <c r="H278" s="42"/>
    </row>
    <row r="279" spans="1:8" ht="12.75" customHeight="1">
      <c r="A279" s="27">
        <v>43557</v>
      </c>
      <c r="B279" s="28"/>
      <c r="C279" s="32">
        <f>ROUND(13.6281,4)</f>
        <v>13.6281</v>
      </c>
      <c r="D279" s="32">
        <f>F279</f>
        <v>13.735</v>
      </c>
      <c r="E279" s="32">
        <f>F279</f>
        <v>13.735</v>
      </c>
      <c r="F279" s="32">
        <f>ROUND(13.735,4)</f>
        <v>13.735</v>
      </c>
      <c r="G279" s="26"/>
      <c r="H279" s="42"/>
    </row>
    <row r="280" spans="1:8" ht="12.75" customHeight="1">
      <c r="A280" s="27">
        <v>43560</v>
      </c>
      <c r="B280" s="28"/>
      <c r="C280" s="32">
        <f>ROUND(13.6281,4)</f>
        <v>13.6281</v>
      </c>
      <c r="D280" s="32">
        <f>F280</f>
        <v>13.7399</v>
      </c>
      <c r="E280" s="32">
        <f>F280</f>
        <v>13.7399</v>
      </c>
      <c r="F280" s="32">
        <f>ROUND(13.7399,4)</f>
        <v>13.7399</v>
      </c>
      <c r="G280" s="26"/>
      <c r="H280" s="42"/>
    </row>
    <row r="281" spans="1:8" ht="12.75" customHeight="1">
      <c r="A281" s="27">
        <v>43570</v>
      </c>
      <c r="B281" s="28"/>
      <c r="C281" s="32">
        <f>ROUND(13.6281,4)</f>
        <v>13.6281</v>
      </c>
      <c r="D281" s="32">
        <f>F281</f>
        <v>13.7562</v>
      </c>
      <c r="E281" s="32">
        <f>F281</f>
        <v>13.7562</v>
      </c>
      <c r="F281" s="32">
        <f>ROUND(13.7562,4)</f>
        <v>13.7562</v>
      </c>
      <c r="G281" s="26"/>
      <c r="H281" s="42"/>
    </row>
    <row r="282" spans="1:8" ht="12.75" customHeight="1">
      <c r="A282" s="27">
        <v>43581</v>
      </c>
      <c r="B282" s="28"/>
      <c r="C282" s="32">
        <f>ROUND(13.6281,4)</f>
        <v>13.6281</v>
      </c>
      <c r="D282" s="32">
        <f>F282</f>
        <v>13.7741</v>
      </c>
      <c r="E282" s="32">
        <f>F282</f>
        <v>13.7741</v>
      </c>
      <c r="F282" s="32">
        <f>ROUND(13.7741,4)</f>
        <v>13.7741</v>
      </c>
      <c r="G282" s="26"/>
      <c r="H282" s="42"/>
    </row>
    <row r="283" spans="1:8" ht="12.75" customHeight="1">
      <c r="A283" s="27">
        <v>43584</v>
      </c>
      <c r="B283" s="28"/>
      <c r="C283" s="32">
        <f>ROUND(13.6281,4)</f>
        <v>13.6281</v>
      </c>
      <c r="D283" s="32">
        <f>F283</f>
        <v>13.7792</v>
      </c>
      <c r="E283" s="32">
        <f>F283</f>
        <v>13.7792</v>
      </c>
      <c r="F283" s="32">
        <f>ROUND(13.7792,4)</f>
        <v>13.7792</v>
      </c>
      <c r="G283" s="26"/>
      <c r="H283" s="42"/>
    </row>
    <row r="284" spans="1:8" ht="12.75" customHeight="1">
      <c r="A284" s="27">
        <v>43585</v>
      </c>
      <c r="B284" s="28"/>
      <c r="C284" s="32">
        <f>ROUND(13.6281,4)</f>
        <v>13.6281</v>
      </c>
      <c r="D284" s="32">
        <f>F284</f>
        <v>13.7808</v>
      </c>
      <c r="E284" s="32">
        <f>F284</f>
        <v>13.7808</v>
      </c>
      <c r="F284" s="32">
        <f>ROUND(13.7808,4)</f>
        <v>13.7808</v>
      </c>
      <c r="G284" s="26"/>
      <c r="H284" s="42"/>
    </row>
    <row r="285" spans="1:8" ht="12.75" customHeight="1">
      <c r="A285" s="27">
        <v>43616</v>
      </c>
      <c r="B285" s="28"/>
      <c r="C285" s="32">
        <f>ROUND(13.6281,4)</f>
        <v>13.6281</v>
      </c>
      <c r="D285" s="32">
        <f>F285</f>
        <v>13.8329</v>
      </c>
      <c r="E285" s="32">
        <f>F285</f>
        <v>13.8329</v>
      </c>
      <c r="F285" s="32">
        <f>ROUND(13.8329,4)</f>
        <v>13.8329</v>
      </c>
      <c r="G285" s="26"/>
      <c r="H285" s="42"/>
    </row>
    <row r="286" spans="1:8" ht="12.75" customHeight="1">
      <c r="A286" s="27">
        <v>43619</v>
      </c>
      <c r="B286" s="28"/>
      <c r="C286" s="32">
        <f>ROUND(13.6281,4)</f>
        <v>13.6281</v>
      </c>
      <c r="D286" s="32">
        <f>F286</f>
        <v>13.838</v>
      </c>
      <c r="E286" s="32">
        <f>F286</f>
        <v>13.838</v>
      </c>
      <c r="F286" s="32">
        <f>ROUND(13.838,4)</f>
        <v>13.838</v>
      </c>
      <c r="G286" s="26"/>
      <c r="H286" s="42"/>
    </row>
    <row r="287" spans="1:8" ht="12.75" customHeight="1">
      <c r="A287" s="27">
        <v>43620</v>
      </c>
      <c r="B287" s="28"/>
      <c r="C287" s="32">
        <f>ROUND(13.6281,4)</f>
        <v>13.6281</v>
      </c>
      <c r="D287" s="32">
        <f>F287</f>
        <v>13.8396</v>
      </c>
      <c r="E287" s="32">
        <f>F287</f>
        <v>13.8396</v>
      </c>
      <c r="F287" s="32">
        <f>ROUND(13.8396,4)</f>
        <v>13.8396</v>
      </c>
      <c r="G287" s="26"/>
      <c r="H287" s="42"/>
    </row>
    <row r="288" spans="1:8" ht="12.75" customHeight="1">
      <c r="A288" s="27">
        <v>43636</v>
      </c>
      <c r="B288" s="28"/>
      <c r="C288" s="32">
        <f>ROUND(13.6281,4)</f>
        <v>13.6281</v>
      </c>
      <c r="D288" s="32">
        <f>F288</f>
        <v>13.8663</v>
      </c>
      <c r="E288" s="32">
        <f>F288</f>
        <v>13.8663</v>
      </c>
      <c r="F288" s="32">
        <f>ROUND(13.8663,4)</f>
        <v>13.8663</v>
      </c>
      <c r="G288" s="26"/>
      <c r="H288" s="42"/>
    </row>
    <row r="289" spans="1:8" ht="12.75" customHeight="1">
      <c r="A289" s="27">
        <v>43644</v>
      </c>
      <c r="B289" s="28"/>
      <c r="C289" s="32">
        <f>ROUND(13.6281,4)</f>
        <v>13.6281</v>
      </c>
      <c r="D289" s="32">
        <f>F289</f>
        <v>13.8796</v>
      </c>
      <c r="E289" s="32">
        <f>F289</f>
        <v>13.8796</v>
      </c>
      <c r="F289" s="32">
        <f>ROUND(13.8796,4)</f>
        <v>13.8796</v>
      </c>
      <c r="G289" s="26"/>
      <c r="H289" s="42"/>
    </row>
    <row r="290" spans="1:8" ht="12.75" customHeight="1">
      <c r="A290" s="27">
        <v>43647</v>
      </c>
      <c r="B290" s="28"/>
      <c r="C290" s="32">
        <f>ROUND(13.6281,4)</f>
        <v>13.6281</v>
      </c>
      <c r="D290" s="32">
        <f>F290</f>
        <v>13.8845</v>
      </c>
      <c r="E290" s="32">
        <f>F290</f>
        <v>13.8845</v>
      </c>
      <c r="F290" s="32">
        <f>ROUND(13.8845,4)</f>
        <v>13.8845</v>
      </c>
      <c r="G290" s="26"/>
      <c r="H290" s="42"/>
    </row>
    <row r="291" spans="1:8" ht="12.75" customHeight="1">
      <c r="A291" s="27">
        <v>43649</v>
      </c>
      <c r="B291" s="28"/>
      <c r="C291" s="32">
        <f>ROUND(13.6281,4)</f>
        <v>13.6281</v>
      </c>
      <c r="D291" s="32">
        <f>F291</f>
        <v>13.8878</v>
      </c>
      <c r="E291" s="32">
        <f>F291</f>
        <v>13.8878</v>
      </c>
      <c r="F291" s="32">
        <f>ROUND(13.8878,4)</f>
        <v>13.8878</v>
      </c>
      <c r="G291" s="26"/>
      <c r="H291" s="42"/>
    </row>
    <row r="292" spans="1:8" ht="12.75" customHeight="1">
      <c r="A292" s="27">
        <v>43677</v>
      </c>
      <c r="B292" s="28"/>
      <c r="C292" s="32">
        <f>ROUND(13.6281,4)</f>
        <v>13.6281</v>
      </c>
      <c r="D292" s="32">
        <f>F292</f>
        <v>13.9347</v>
      </c>
      <c r="E292" s="32">
        <f>F292</f>
        <v>13.9347</v>
      </c>
      <c r="F292" s="32">
        <f>ROUND(13.9347,4)</f>
        <v>13.9347</v>
      </c>
      <c r="G292" s="26"/>
      <c r="H292" s="42"/>
    </row>
    <row r="293" spans="1:8" ht="12.75" customHeight="1">
      <c r="A293" s="27">
        <v>43678</v>
      </c>
      <c r="B293" s="28"/>
      <c r="C293" s="32">
        <f>ROUND(13.6281,4)</f>
        <v>13.6281</v>
      </c>
      <c r="D293" s="32">
        <f>F293</f>
        <v>13.9364</v>
      </c>
      <c r="E293" s="32">
        <f>F293</f>
        <v>13.9364</v>
      </c>
      <c r="F293" s="32">
        <f>ROUND(13.9364,4)</f>
        <v>13.9364</v>
      </c>
      <c r="G293" s="26"/>
      <c r="H293" s="42"/>
    </row>
    <row r="294" spans="1:8" ht="12.75" customHeight="1">
      <c r="A294" s="27">
        <v>43690</v>
      </c>
      <c r="B294" s="28"/>
      <c r="C294" s="32">
        <f>ROUND(13.6281,4)</f>
        <v>13.6281</v>
      </c>
      <c r="D294" s="32">
        <f>F294</f>
        <v>13.9576</v>
      </c>
      <c r="E294" s="32">
        <f>F294</f>
        <v>13.9576</v>
      </c>
      <c r="F294" s="32">
        <f>ROUND(13.9576,4)</f>
        <v>13.9576</v>
      </c>
      <c r="G294" s="26"/>
      <c r="H294" s="42"/>
    </row>
    <row r="295" spans="1:8" ht="12.75" customHeight="1">
      <c r="A295" s="27">
        <v>43707</v>
      </c>
      <c r="B295" s="28"/>
      <c r="C295" s="32">
        <f>ROUND(13.6281,4)</f>
        <v>13.6281</v>
      </c>
      <c r="D295" s="32">
        <f>F295</f>
        <v>13.9872</v>
      </c>
      <c r="E295" s="32">
        <f>F295</f>
        <v>13.9872</v>
      </c>
      <c r="F295" s="32">
        <f>ROUND(13.9872,4)</f>
        <v>13.9872</v>
      </c>
      <c r="G295" s="26"/>
      <c r="H295" s="42"/>
    </row>
    <row r="296" spans="1:8" ht="12.75" customHeight="1">
      <c r="A296" s="27">
        <v>43710</v>
      </c>
      <c r="B296" s="28"/>
      <c r="C296" s="32">
        <f>ROUND(13.6281,4)</f>
        <v>13.6281</v>
      </c>
      <c r="D296" s="32">
        <f>F296</f>
        <v>13.9924</v>
      </c>
      <c r="E296" s="32">
        <f>F296</f>
        <v>13.9924</v>
      </c>
      <c r="F296" s="32">
        <f>ROUND(13.9924,4)</f>
        <v>13.9924</v>
      </c>
      <c r="G296" s="26"/>
      <c r="H296" s="42"/>
    </row>
    <row r="297" spans="1:8" ht="12.75" customHeight="1">
      <c r="A297" s="27">
        <v>43712</v>
      </c>
      <c r="B297" s="28"/>
      <c r="C297" s="32">
        <f>ROUND(13.6281,4)</f>
        <v>13.6281</v>
      </c>
      <c r="D297" s="32">
        <f>F297</f>
        <v>13.9958</v>
      </c>
      <c r="E297" s="32">
        <f>F297</f>
        <v>13.9958</v>
      </c>
      <c r="F297" s="32">
        <f>ROUND(13.9958,4)</f>
        <v>13.9958</v>
      </c>
      <c r="G297" s="26"/>
      <c r="H297" s="42"/>
    </row>
    <row r="298" spans="1:8" ht="12.75" customHeight="1">
      <c r="A298" s="27">
        <v>43713</v>
      </c>
      <c r="B298" s="28"/>
      <c r="C298" s="32">
        <f>ROUND(13.6281,4)</f>
        <v>13.6281</v>
      </c>
      <c r="D298" s="32">
        <f>F298</f>
        <v>13.9975</v>
      </c>
      <c r="E298" s="32">
        <f>F298</f>
        <v>13.9975</v>
      </c>
      <c r="F298" s="32">
        <f>ROUND(13.9975,4)</f>
        <v>13.9975</v>
      </c>
      <c r="G298" s="26"/>
      <c r="H298" s="42"/>
    </row>
    <row r="299" spans="1:8" ht="12.75" customHeight="1">
      <c r="A299" s="27">
        <v>43738</v>
      </c>
      <c r="B299" s="28"/>
      <c r="C299" s="32">
        <f>ROUND(13.6281,4)</f>
        <v>13.6281</v>
      </c>
      <c r="D299" s="32">
        <f>F299</f>
        <v>14.0404</v>
      </c>
      <c r="E299" s="32">
        <f>F299</f>
        <v>14.0404</v>
      </c>
      <c r="F299" s="32">
        <f>ROUND(14.0404,4)</f>
        <v>14.0404</v>
      </c>
      <c r="G299" s="26"/>
      <c r="H299" s="42"/>
    </row>
    <row r="300" spans="1:8" ht="12.75" customHeight="1">
      <c r="A300" s="27">
        <v>43740</v>
      </c>
      <c r="B300" s="28"/>
      <c r="C300" s="32">
        <f>ROUND(13.6281,4)</f>
        <v>13.6281</v>
      </c>
      <c r="D300" s="32">
        <f>F300</f>
        <v>14.0438</v>
      </c>
      <c r="E300" s="32">
        <f>F300</f>
        <v>14.0438</v>
      </c>
      <c r="F300" s="32">
        <f>ROUND(14.0438,4)</f>
        <v>14.0438</v>
      </c>
      <c r="G300" s="26"/>
      <c r="H300" s="42"/>
    </row>
    <row r="301" spans="1:8" ht="12.75" customHeight="1">
      <c r="A301" s="27">
        <v>43769</v>
      </c>
      <c r="B301" s="28"/>
      <c r="C301" s="32">
        <f>ROUND(13.6281,4)</f>
        <v>13.6281</v>
      </c>
      <c r="D301" s="32">
        <f>F301</f>
        <v>14.0936</v>
      </c>
      <c r="E301" s="32">
        <f>F301</f>
        <v>14.0936</v>
      </c>
      <c r="F301" s="32">
        <f>ROUND(14.0936,4)</f>
        <v>14.0936</v>
      </c>
      <c r="G301" s="26"/>
      <c r="H301" s="42"/>
    </row>
    <row r="302" spans="1:8" ht="12.75" customHeight="1">
      <c r="A302" s="27">
        <v>43798</v>
      </c>
      <c r="B302" s="28"/>
      <c r="C302" s="32">
        <f>ROUND(13.6281,4)</f>
        <v>13.6281</v>
      </c>
      <c r="D302" s="32">
        <f>F302</f>
        <v>14.1439</v>
      </c>
      <c r="E302" s="32">
        <f>F302</f>
        <v>14.1439</v>
      </c>
      <c r="F302" s="32">
        <f>ROUND(14.1439,4)</f>
        <v>14.1439</v>
      </c>
      <c r="G302" s="26"/>
      <c r="H302" s="42"/>
    </row>
    <row r="303" spans="1:8" ht="12.75" customHeight="1">
      <c r="A303" s="27">
        <v>43801</v>
      </c>
      <c r="B303" s="28"/>
      <c r="C303" s="32">
        <f>ROUND(13.6281,4)</f>
        <v>13.6281</v>
      </c>
      <c r="D303" s="32">
        <f>F303</f>
        <v>14.1491</v>
      </c>
      <c r="E303" s="32">
        <f>F303</f>
        <v>14.1491</v>
      </c>
      <c r="F303" s="32">
        <f>ROUND(14.1491,4)</f>
        <v>14.1491</v>
      </c>
      <c r="G303" s="26"/>
      <c r="H303" s="42"/>
    </row>
    <row r="304" spans="1:8" ht="12.75" customHeight="1">
      <c r="A304" s="27">
        <v>43803</v>
      </c>
      <c r="B304" s="28"/>
      <c r="C304" s="32">
        <f>ROUND(13.6281,4)</f>
        <v>13.6281</v>
      </c>
      <c r="D304" s="32">
        <f>F304</f>
        <v>14.1525</v>
      </c>
      <c r="E304" s="32">
        <f>F304</f>
        <v>14.1525</v>
      </c>
      <c r="F304" s="32">
        <f>ROUND(14.1525,4)</f>
        <v>14.1525</v>
      </c>
      <c r="G304" s="26"/>
      <c r="H304" s="42"/>
    </row>
    <row r="305" spans="1:8" ht="12.75" customHeight="1">
      <c r="A305" s="27">
        <v>43830</v>
      </c>
      <c r="B305" s="28"/>
      <c r="C305" s="32">
        <f>ROUND(13.6281,4)</f>
        <v>13.6281</v>
      </c>
      <c r="D305" s="32">
        <f>F305</f>
        <v>14.1994</v>
      </c>
      <c r="E305" s="32">
        <f>F305</f>
        <v>14.1994</v>
      </c>
      <c r="F305" s="32">
        <f>ROUND(14.1994,4)</f>
        <v>14.1994</v>
      </c>
      <c r="G305" s="26"/>
      <c r="H305" s="42"/>
    </row>
    <row r="306" spans="1:8" ht="12.75" customHeight="1">
      <c r="A306" s="27">
        <v>43832</v>
      </c>
      <c r="B306" s="28"/>
      <c r="C306" s="32">
        <f>ROUND(13.6281,4)</f>
        <v>13.6281</v>
      </c>
      <c r="D306" s="32">
        <f>F306</f>
        <v>14.203</v>
      </c>
      <c r="E306" s="32">
        <f>F306</f>
        <v>14.203</v>
      </c>
      <c r="F306" s="32">
        <f>ROUND(14.203,4)</f>
        <v>14.203</v>
      </c>
      <c r="G306" s="26"/>
      <c r="H306" s="42"/>
    </row>
    <row r="307" spans="1:8" ht="12.75" customHeight="1">
      <c r="A307" s="27">
        <v>43861</v>
      </c>
      <c r="B307" s="28"/>
      <c r="C307" s="32">
        <f>ROUND(13.6281,4)</f>
        <v>13.6281</v>
      </c>
      <c r="D307" s="32">
        <f>F307</f>
        <v>14.2543</v>
      </c>
      <c r="E307" s="32">
        <f>F307</f>
        <v>14.2543</v>
      </c>
      <c r="F307" s="32">
        <f>ROUND(14.2543,4)</f>
        <v>14.2543</v>
      </c>
      <c r="G307" s="26"/>
      <c r="H307" s="42"/>
    </row>
    <row r="308" spans="1:8" ht="12.75" customHeight="1">
      <c r="A308" s="27">
        <v>43892</v>
      </c>
      <c r="B308" s="28"/>
      <c r="C308" s="32">
        <f>ROUND(13.6281,4)</f>
        <v>13.6281</v>
      </c>
      <c r="D308" s="32">
        <f>F308</f>
        <v>14.3093</v>
      </c>
      <c r="E308" s="32">
        <f>F308</f>
        <v>14.3093</v>
      </c>
      <c r="F308" s="32">
        <f>ROUND(14.3093,4)</f>
        <v>14.3093</v>
      </c>
      <c r="G308" s="26"/>
      <c r="H308" s="42"/>
    </row>
    <row r="309" spans="1:8" ht="12.75" customHeight="1">
      <c r="A309" s="27">
        <v>43923</v>
      </c>
      <c r="B309" s="28"/>
      <c r="C309" s="32">
        <f>ROUND(13.6281,4)</f>
        <v>13.6281</v>
      </c>
      <c r="D309" s="32">
        <f>F309</f>
        <v>14.3642</v>
      </c>
      <c r="E309" s="32">
        <f>F309</f>
        <v>14.3642</v>
      </c>
      <c r="F309" s="32">
        <f>ROUND(14.3642,4)</f>
        <v>14.3642</v>
      </c>
      <c r="G309" s="26"/>
      <c r="H309" s="42"/>
    </row>
    <row r="310" spans="1:8" ht="12.75" customHeight="1">
      <c r="A310" s="27">
        <v>43950</v>
      </c>
      <c r="B310" s="28"/>
      <c r="C310" s="32">
        <f>ROUND(13.6281,4)</f>
        <v>13.6281</v>
      </c>
      <c r="D310" s="32">
        <f>F310</f>
        <v>14.4122</v>
      </c>
      <c r="E310" s="32">
        <f>F310</f>
        <v>14.4122</v>
      </c>
      <c r="F310" s="32">
        <f>ROUND(14.4122,4)</f>
        <v>14.4122</v>
      </c>
      <c r="G310" s="26"/>
      <c r="H310" s="42"/>
    </row>
    <row r="311" spans="1:8" ht="12.75" customHeight="1">
      <c r="A311" s="27">
        <v>43984</v>
      </c>
      <c r="B311" s="28"/>
      <c r="C311" s="32">
        <f>ROUND(13.6281,4)</f>
        <v>13.6281</v>
      </c>
      <c r="D311" s="32">
        <f>F311</f>
        <v>14.4742</v>
      </c>
      <c r="E311" s="32">
        <f>F311</f>
        <v>14.4742</v>
      </c>
      <c r="F311" s="32">
        <f>ROUND(14.4742,4)</f>
        <v>14.4742</v>
      </c>
      <c r="G311" s="26"/>
      <c r="H311" s="42"/>
    </row>
    <row r="312" spans="1:8" ht="12.75" customHeight="1">
      <c r="A312" s="27">
        <v>44001</v>
      </c>
      <c r="B312" s="28"/>
      <c r="C312" s="32">
        <f>ROUND(13.6281,4)</f>
        <v>13.6281</v>
      </c>
      <c r="D312" s="32">
        <f>F312</f>
        <v>14.4157</v>
      </c>
      <c r="E312" s="32">
        <f>F312</f>
        <v>14.4157</v>
      </c>
      <c r="F312" s="32">
        <f>ROUND(14.4157,4)</f>
        <v>14.4157</v>
      </c>
      <c r="G312" s="26"/>
      <c r="H312" s="42"/>
    </row>
    <row r="313" spans="1:8" ht="12.75" customHeight="1">
      <c r="A313" s="27">
        <v>44040</v>
      </c>
      <c r="B313" s="28"/>
      <c r="C313" s="32">
        <f>ROUND(13.6281,4)</f>
        <v>13.6281</v>
      </c>
      <c r="D313" s="32">
        <f>F313</f>
        <v>14.5769</v>
      </c>
      <c r="E313" s="32">
        <f>F313</f>
        <v>14.5769</v>
      </c>
      <c r="F313" s="32">
        <f>ROUND(14.5769,4)</f>
        <v>14.5769</v>
      </c>
      <c r="G313" s="26"/>
      <c r="H313" s="42"/>
    </row>
    <row r="314" spans="1:8" ht="12.75" customHeight="1">
      <c r="A314" s="27">
        <v>45676</v>
      </c>
      <c r="B314" s="28"/>
      <c r="C314" s="32">
        <f>ROUND(13.6281,4)</f>
        <v>13.6281</v>
      </c>
      <c r="D314" s="32">
        <f>F314</f>
        <v>14.1646</v>
      </c>
      <c r="E314" s="32">
        <f>F314</f>
        <v>14.1646</v>
      </c>
      <c r="F314" s="32">
        <f>ROUND(14.1646,4)</f>
        <v>14.1646</v>
      </c>
      <c r="G314" s="26"/>
      <c r="H314" s="42"/>
    </row>
    <row r="315" spans="1:8" ht="12.75" customHeight="1">
      <c r="A315" s="27">
        <v>45707</v>
      </c>
      <c r="B315" s="28"/>
      <c r="C315" s="32">
        <f>ROUND(13.6281,4)</f>
        <v>13.6281</v>
      </c>
      <c r="D315" s="32">
        <f>F315</f>
        <v>14.2161</v>
      </c>
      <c r="E315" s="32">
        <f>F315</f>
        <v>14.2161</v>
      </c>
      <c r="F315" s="32">
        <f>ROUND(14.2161,4)</f>
        <v>14.2161</v>
      </c>
      <c r="G315" s="26"/>
      <c r="H315" s="42"/>
    </row>
    <row r="316" spans="1:8" ht="12.75" customHeight="1">
      <c r="A316" s="27">
        <v>46131</v>
      </c>
      <c r="B316" s="28"/>
      <c r="C316" s="32">
        <f>ROUND(13.6281,4)</f>
        <v>13.6281</v>
      </c>
      <c r="D316" s="32">
        <f>F316</f>
        <v>14.3183</v>
      </c>
      <c r="E316" s="32">
        <f>F316</f>
        <v>14.3183</v>
      </c>
      <c r="F316" s="32">
        <f>ROUND(14.3183,4)</f>
        <v>14.3183</v>
      </c>
      <c r="G316" s="26"/>
      <c r="H316" s="42"/>
    </row>
    <row r="317" spans="1:8" ht="12.75" customHeight="1">
      <c r="A317" s="27">
        <v>46465</v>
      </c>
      <c r="B317" s="28"/>
      <c r="C317" s="32">
        <f>ROUND(13.6281,4)</f>
        <v>13.6281</v>
      </c>
      <c r="D317" s="32">
        <f>F317</f>
        <v>14.2668</v>
      </c>
      <c r="E317" s="32">
        <f>F317</f>
        <v>14.2668</v>
      </c>
      <c r="F317" s="32">
        <f>ROUND(14.2668,4)</f>
        <v>14.2668</v>
      </c>
      <c r="G317" s="26"/>
      <c r="H317" s="42"/>
    </row>
    <row r="318" spans="1:8" ht="12.75" customHeight="1">
      <c r="A318" s="27">
        <v>46802</v>
      </c>
      <c r="B318" s="28"/>
      <c r="C318" s="32">
        <f>ROUND(13.6281,4)</f>
        <v>13.6281</v>
      </c>
      <c r="D318" s="32">
        <f>F318</f>
        <v>14.2211</v>
      </c>
      <c r="E318" s="32">
        <f>F318</f>
        <v>14.2211</v>
      </c>
      <c r="F318" s="32">
        <f>ROUND(14.2211,4)</f>
        <v>14.2211</v>
      </c>
      <c r="G318" s="26"/>
      <c r="H318" s="42"/>
    </row>
    <row r="319" spans="1:8" ht="12.75" customHeight="1">
      <c r="A319" s="27">
        <v>46923</v>
      </c>
      <c r="B319" s="28"/>
      <c r="C319" s="32">
        <f>ROUND(13.6281,4)</f>
        <v>13.6281</v>
      </c>
      <c r="D319" s="32">
        <f>F319</f>
        <v>14.4296</v>
      </c>
      <c r="E319" s="32">
        <f>F319</f>
        <v>14.4296</v>
      </c>
      <c r="F319" s="32">
        <f>ROUND(14.4296,4)</f>
        <v>14.4296</v>
      </c>
      <c r="G319" s="26"/>
      <c r="H319" s="42"/>
    </row>
    <row r="320" spans="1:8" ht="12.75" customHeight="1">
      <c r="A320" s="27">
        <v>46954</v>
      </c>
      <c r="B320" s="28"/>
      <c r="C320" s="32">
        <f>ROUND(13.6281,4)</f>
        <v>13.6281</v>
      </c>
      <c r="D320" s="32">
        <f>F320</f>
        <v>15.1659</v>
      </c>
      <c r="E320" s="32">
        <f>F320</f>
        <v>15.1659</v>
      </c>
      <c r="F320" s="32">
        <f>ROUND(15.1659,4)</f>
        <v>15.1659</v>
      </c>
      <c r="G320" s="26"/>
      <c r="H320" s="42"/>
    </row>
    <row r="321" spans="1:8" ht="12.75" customHeight="1">
      <c r="A321" s="27">
        <v>47196</v>
      </c>
      <c r="B321" s="28"/>
      <c r="C321" s="32">
        <f>ROUND(13.6281,4)</f>
        <v>13.6281</v>
      </c>
      <c r="D321" s="32">
        <f>F321</f>
        <v>14.2703</v>
      </c>
      <c r="E321" s="32">
        <f>F321</f>
        <v>14.2703</v>
      </c>
      <c r="F321" s="32">
        <f>ROUND(14.2703,4)</f>
        <v>14.2703</v>
      </c>
      <c r="G321" s="26"/>
      <c r="H321" s="42"/>
    </row>
    <row r="322" spans="1:8" ht="12.75" customHeight="1">
      <c r="A322" s="27">
        <v>47228</v>
      </c>
      <c r="B322" s="28"/>
      <c r="C322" s="32">
        <f>ROUND(13.6281,4)</f>
        <v>13.6281</v>
      </c>
      <c r="D322" s="32">
        <f>F322</f>
        <v>14.9921</v>
      </c>
      <c r="E322" s="32">
        <f>F322</f>
        <v>14.9921</v>
      </c>
      <c r="F322" s="32">
        <f>ROUND(14.9921,4)</f>
        <v>14.9921</v>
      </c>
      <c r="G322" s="26"/>
      <c r="H322" s="42"/>
    </row>
    <row r="323" spans="1:8" ht="12.75" customHeight="1">
      <c r="A323" s="27">
        <v>47441</v>
      </c>
      <c r="B323" s="28"/>
      <c r="C323" s="32">
        <f>ROUND(13.6281,4)</f>
        <v>13.6281</v>
      </c>
      <c r="D323" s="32">
        <f>F323</f>
        <v>14.7085</v>
      </c>
      <c r="E323" s="32">
        <f>F323</f>
        <v>14.7085</v>
      </c>
      <c r="F323" s="32">
        <f>ROUND(14.7085,4)</f>
        <v>14.7085</v>
      </c>
      <c r="G323" s="26"/>
      <c r="H323" s="42"/>
    </row>
    <row r="324" spans="1:8" ht="12.75" customHeight="1">
      <c r="A324" s="27" t="s">
        <v>64</v>
      </c>
      <c r="B324" s="28"/>
      <c r="C324" s="29"/>
      <c r="D324" s="29"/>
      <c r="E324" s="29"/>
      <c r="F324" s="29"/>
      <c r="G324" s="26"/>
      <c r="H324" s="42"/>
    </row>
    <row r="325" spans="1:8" ht="12.75" customHeight="1">
      <c r="A325" s="27">
        <v>43542</v>
      </c>
      <c r="B325" s="28"/>
      <c r="C325" s="32">
        <f>ROUND(1.1385,4)</f>
        <v>1.1385</v>
      </c>
      <c r="D325" s="32">
        <f>F325</f>
        <v>1.1435</v>
      </c>
      <c r="E325" s="32">
        <f>F325</f>
        <v>1.1435</v>
      </c>
      <c r="F325" s="32">
        <f>ROUND(1.1435,4)</f>
        <v>1.1435</v>
      </c>
      <c r="G325" s="26"/>
      <c r="H325" s="42"/>
    </row>
    <row r="326" spans="1:8" ht="12.75" customHeight="1">
      <c r="A326" s="27">
        <v>43630</v>
      </c>
      <c r="B326" s="28"/>
      <c r="C326" s="32">
        <f>ROUND(1.1385,4)</f>
        <v>1.1385</v>
      </c>
      <c r="D326" s="32">
        <f>F326</f>
        <v>1.1522</v>
      </c>
      <c r="E326" s="32">
        <f>F326</f>
        <v>1.1522</v>
      </c>
      <c r="F326" s="32">
        <f>ROUND(1.1522,4)</f>
        <v>1.1522</v>
      </c>
      <c r="G326" s="26"/>
      <c r="H326" s="42"/>
    </row>
    <row r="327" spans="1:8" ht="12.75" customHeight="1">
      <c r="A327" s="27">
        <v>43724</v>
      </c>
      <c r="B327" s="28"/>
      <c r="C327" s="32">
        <f>ROUND(1.1385,4)</f>
        <v>1.1385</v>
      </c>
      <c r="D327" s="32">
        <f>F327</f>
        <v>1.1616</v>
      </c>
      <c r="E327" s="32">
        <f>F327</f>
        <v>1.1616</v>
      </c>
      <c r="F327" s="32">
        <f>ROUND(1.1616,4)</f>
        <v>1.1616</v>
      </c>
      <c r="G327" s="26"/>
      <c r="H327" s="42"/>
    </row>
    <row r="328" spans="1:8" ht="12.75" customHeight="1">
      <c r="A328" s="27">
        <v>43812</v>
      </c>
      <c r="B328" s="28"/>
      <c r="C328" s="32">
        <f>ROUND(1.1385,4)</f>
        <v>1.1385</v>
      </c>
      <c r="D328" s="32">
        <f>F328</f>
        <v>1.1704</v>
      </c>
      <c r="E328" s="32">
        <f>F328</f>
        <v>1.1704</v>
      </c>
      <c r="F328" s="32">
        <f>ROUND(1.1704,4)</f>
        <v>1.1704</v>
      </c>
      <c r="G328" s="26"/>
      <c r="H328" s="42"/>
    </row>
    <row r="329" spans="1:8" ht="12.75" customHeight="1">
      <c r="A329" s="27">
        <v>43906</v>
      </c>
      <c r="B329" s="28"/>
      <c r="C329" s="32">
        <f>ROUND(1.1385,4)</f>
        <v>1.1385</v>
      </c>
      <c r="D329" s="32">
        <f>F329</f>
        <v>1.1802</v>
      </c>
      <c r="E329" s="32">
        <f>F329</f>
        <v>1.1802</v>
      </c>
      <c r="F329" s="32">
        <f>ROUND(1.1802,4)</f>
        <v>1.1802</v>
      </c>
      <c r="G329" s="26"/>
      <c r="H329" s="42"/>
    </row>
    <row r="330" spans="1:8" ht="12.75" customHeight="1">
      <c r="A330" s="27">
        <v>43994</v>
      </c>
      <c r="B330" s="28"/>
      <c r="C330" s="32">
        <f>ROUND(1.1385,4)</f>
        <v>1.1385</v>
      </c>
      <c r="D330" s="32">
        <f>F330</f>
        <v>1.1697</v>
      </c>
      <c r="E330" s="32">
        <f>F330</f>
        <v>1.1697</v>
      </c>
      <c r="F330" s="32">
        <f>ROUND(1.1697,4)</f>
        <v>1.1697</v>
      </c>
      <c r="G330" s="26"/>
      <c r="H330" s="42"/>
    </row>
    <row r="331" spans="1:8" ht="12.75" customHeight="1">
      <c r="A331" s="27" t="s">
        <v>65</v>
      </c>
      <c r="B331" s="28"/>
      <c r="C331" s="29"/>
      <c r="D331" s="29"/>
      <c r="E331" s="29"/>
      <c r="F331" s="29"/>
      <c r="G331" s="26"/>
      <c r="H331" s="42"/>
    </row>
    <row r="332" spans="1:8" ht="12.75" customHeight="1">
      <c r="A332" s="27">
        <v>43542</v>
      </c>
      <c r="B332" s="28"/>
      <c r="C332" s="32">
        <f>ROUND(1.3133,4)</f>
        <v>1.3133</v>
      </c>
      <c r="D332" s="32">
        <f>F332</f>
        <v>1.3168</v>
      </c>
      <c r="E332" s="32">
        <f>F332</f>
        <v>1.3168</v>
      </c>
      <c r="F332" s="32">
        <f>ROUND(1.3168,4)</f>
        <v>1.3168</v>
      </c>
      <c r="G332" s="26"/>
      <c r="H332" s="42"/>
    </row>
    <row r="333" spans="1:8" ht="12.75" customHeight="1">
      <c r="A333" s="27">
        <v>43630</v>
      </c>
      <c r="B333" s="28"/>
      <c r="C333" s="32">
        <f>ROUND(1.3133,4)</f>
        <v>1.3133</v>
      </c>
      <c r="D333" s="32">
        <f>F333</f>
        <v>1.3225</v>
      </c>
      <c r="E333" s="32">
        <f>F333</f>
        <v>1.3225</v>
      </c>
      <c r="F333" s="32">
        <f>ROUND(1.3225,4)</f>
        <v>1.3225</v>
      </c>
      <c r="G333" s="26"/>
      <c r="H333" s="42"/>
    </row>
    <row r="334" spans="1:8" ht="12.75" customHeight="1">
      <c r="A334" s="27">
        <v>43724</v>
      </c>
      <c r="B334" s="28"/>
      <c r="C334" s="32">
        <f>ROUND(1.3133,4)</f>
        <v>1.3133</v>
      </c>
      <c r="D334" s="32">
        <f>F334</f>
        <v>1.3284</v>
      </c>
      <c r="E334" s="32">
        <f>F334</f>
        <v>1.3284</v>
      </c>
      <c r="F334" s="32">
        <f>ROUND(1.3284,4)</f>
        <v>1.3284</v>
      </c>
      <c r="G334" s="26"/>
      <c r="H334" s="42"/>
    </row>
    <row r="335" spans="1:8" ht="12.75" customHeight="1">
      <c r="A335" s="27">
        <v>43812</v>
      </c>
      <c r="B335" s="28"/>
      <c r="C335" s="32">
        <f>ROUND(1.3133,4)</f>
        <v>1.3133</v>
      </c>
      <c r="D335" s="32">
        <f>F335</f>
        <v>1.3338</v>
      </c>
      <c r="E335" s="32">
        <f>F335</f>
        <v>1.3338</v>
      </c>
      <c r="F335" s="32">
        <f>ROUND(1.3338,4)</f>
        <v>1.3338</v>
      </c>
      <c r="G335" s="26"/>
      <c r="H335" s="42"/>
    </row>
    <row r="336" spans="1:8" ht="12.75" customHeight="1">
      <c r="A336" s="27">
        <v>43906</v>
      </c>
      <c r="B336" s="28"/>
      <c r="C336" s="32">
        <f>ROUND(1.3133,4)</f>
        <v>1.3133</v>
      </c>
      <c r="D336" s="32">
        <f>F336</f>
        <v>1.3395</v>
      </c>
      <c r="E336" s="32">
        <f>F336</f>
        <v>1.3395</v>
      </c>
      <c r="F336" s="32">
        <f>ROUND(1.3395,4)</f>
        <v>1.3395</v>
      </c>
      <c r="G336" s="26"/>
      <c r="H336" s="42"/>
    </row>
    <row r="337" spans="1:8" ht="12.75" customHeight="1">
      <c r="A337" s="27">
        <v>43994</v>
      </c>
      <c r="B337" s="28"/>
      <c r="C337" s="32">
        <f>ROUND(1.3133,4)</f>
        <v>1.3133</v>
      </c>
      <c r="D337" s="32">
        <f>F337</f>
        <v>1.3112</v>
      </c>
      <c r="E337" s="32">
        <f>F337</f>
        <v>1.3112</v>
      </c>
      <c r="F337" s="32">
        <f>ROUND(1.3112,4)</f>
        <v>1.3112</v>
      </c>
      <c r="G337" s="26"/>
      <c r="H337" s="42"/>
    </row>
    <row r="338" spans="1:8" ht="12.75" customHeight="1">
      <c r="A338" s="27" t="s">
        <v>66</v>
      </c>
      <c r="B338" s="28"/>
      <c r="C338" s="29"/>
      <c r="D338" s="29"/>
      <c r="E338" s="29"/>
      <c r="F338" s="29"/>
      <c r="G338" s="26"/>
      <c r="H338" s="42"/>
    </row>
    <row r="339" spans="1:8" ht="12.75" customHeight="1">
      <c r="A339" s="27">
        <v>43542</v>
      </c>
      <c r="B339" s="28"/>
      <c r="C339" s="32">
        <f>ROUND(7.93435139394598,4)</f>
        <v>7.9344</v>
      </c>
      <c r="D339" s="32">
        <f>F339</f>
        <v>7.8536</v>
      </c>
      <c r="E339" s="32">
        <f>F339</f>
        <v>7.8536</v>
      </c>
      <c r="F339" s="32">
        <f>ROUND(7.853609,4)</f>
        <v>7.8536</v>
      </c>
      <c r="G339" s="26"/>
      <c r="H339" s="42"/>
    </row>
    <row r="340" spans="1:8" ht="12.75" customHeight="1">
      <c r="A340" s="27" t="s">
        <v>67</v>
      </c>
      <c r="B340" s="28"/>
      <c r="C340" s="29"/>
      <c r="D340" s="29"/>
      <c r="E340" s="29"/>
      <c r="F340" s="29"/>
      <c r="G340" s="26"/>
      <c r="H340" s="42"/>
    </row>
    <row r="341" spans="1:8" ht="12.75" customHeight="1">
      <c r="A341" s="27">
        <v>43542</v>
      </c>
      <c r="B341" s="28"/>
      <c r="C341" s="32">
        <f>ROUND(9.7538,4)</f>
        <v>9.7538</v>
      </c>
      <c r="D341" s="32">
        <f>F341</f>
        <v>9.8214</v>
      </c>
      <c r="E341" s="32">
        <f>F341</f>
        <v>9.8214</v>
      </c>
      <c r="F341" s="32">
        <f>ROUND(9.8214,4)</f>
        <v>9.8214</v>
      </c>
      <c r="G341" s="26"/>
      <c r="H341" s="42"/>
    </row>
    <row r="342" spans="1:8" ht="12.75" customHeight="1">
      <c r="A342" s="27">
        <v>43630</v>
      </c>
      <c r="B342" s="28"/>
      <c r="C342" s="32">
        <f>ROUND(9.7538,4)</f>
        <v>9.7538</v>
      </c>
      <c r="D342" s="32">
        <f>F342</f>
        <v>9.9376</v>
      </c>
      <c r="E342" s="32">
        <f>F342</f>
        <v>9.9376</v>
      </c>
      <c r="F342" s="32">
        <f>ROUND(9.9376,4)</f>
        <v>9.9376</v>
      </c>
      <c r="G342" s="26"/>
      <c r="H342" s="42"/>
    </row>
    <row r="343" spans="1:8" ht="12.75" customHeight="1">
      <c r="A343" s="27">
        <v>43724</v>
      </c>
      <c r="B343" s="28"/>
      <c r="C343" s="32">
        <f>ROUND(9.7538,4)</f>
        <v>9.7538</v>
      </c>
      <c r="D343" s="32">
        <f>F343</f>
        <v>10.0668</v>
      </c>
      <c r="E343" s="32">
        <f>F343</f>
        <v>10.0668</v>
      </c>
      <c r="F343" s="32">
        <f>ROUND(10.0668,4)</f>
        <v>10.0668</v>
      </c>
      <c r="G343" s="26"/>
      <c r="H343" s="42"/>
    </row>
    <row r="344" spans="1:8" ht="12.75" customHeight="1">
      <c r="A344" s="27">
        <v>43812</v>
      </c>
      <c r="B344" s="28"/>
      <c r="C344" s="32">
        <f>ROUND(9.7538,4)</f>
        <v>9.7538</v>
      </c>
      <c r="D344" s="32">
        <f>F344</f>
        <v>10.1911</v>
      </c>
      <c r="E344" s="32">
        <f>F344</f>
        <v>10.1911</v>
      </c>
      <c r="F344" s="32">
        <f>ROUND(10.1911,4)</f>
        <v>10.1911</v>
      </c>
      <c r="G344" s="26"/>
      <c r="H344" s="42"/>
    </row>
    <row r="345" spans="1:8" ht="12.75" customHeight="1">
      <c r="A345" s="27">
        <v>43906</v>
      </c>
      <c r="B345" s="28"/>
      <c r="C345" s="32">
        <f>ROUND(9.7538,4)</f>
        <v>9.7538</v>
      </c>
      <c r="D345" s="32">
        <f>F345</f>
        <v>10.3273</v>
      </c>
      <c r="E345" s="32">
        <f>F345</f>
        <v>10.3273</v>
      </c>
      <c r="F345" s="32">
        <f>ROUND(10.3273,4)</f>
        <v>10.3273</v>
      </c>
      <c r="G345" s="26"/>
      <c r="H345" s="42"/>
    </row>
    <row r="346" spans="1:8" ht="12.75" customHeight="1">
      <c r="A346" s="27">
        <v>43994</v>
      </c>
      <c r="B346" s="28"/>
      <c r="C346" s="32">
        <f>ROUND(9.7538,4)</f>
        <v>9.7538</v>
      </c>
      <c r="D346" s="32">
        <f>F346</f>
        <v>10.6497</v>
      </c>
      <c r="E346" s="32">
        <f>F346</f>
        <v>10.6497</v>
      </c>
      <c r="F346" s="32">
        <f>ROUND(10.6497,4)</f>
        <v>10.6497</v>
      </c>
      <c r="G346" s="26"/>
      <c r="H346" s="42"/>
    </row>
    <row r="347" spans="1:8" ht="12.75" customHeight="1">
      <c r="A347" s="27">
        <v>44088</v>
      </c>
      <c r="B347" s="28"/>
      <c r="C347" s="32">
        <f>ROUND(9.7538,4)</f>
        <v>9.7538</v>
      </c>
      <c r="D347" s="32">
        <f>F347</f>
        <v>10.7944</v>
      </c>
      <c r="E347" s="32">
        <f>F347</f>
        <v>10.7944</v>
      </c>
      <c r="F347" s="32">
        <f>ROUND(10.7944,4)</f>
        <v>10.7944</v>
      </c>
      <c r="G347" s="26"/>
      <c r="H347" s="42"/>
    </row>
    <row r="348" spans="1:8" ht="12.75" customHeight="1">
      <c r="A348" s="27">
        <v>44179</v>
      </c>
      <c r="B348" s="28"/>
      <c r="C348" s="32">
        <f>ROUND(9.7538,4)</f>
        <v>9.7538</v>
      </c>
      <c r="D348" s="32">
        <f>F348</f>
        <v>10.9331</v>
      </c>
      <c r="E348" s="32">
        <f>F348</f>
        <v>10.9331</v>
      </c>
      <c r="F348" s="32">
        <f>ROUND(10.9331,4)</f>
        <v>10.9331</v>
      </c>
      <c r="G348" s="26"/>
      <c r="H348" s="42"/>
    </row>
    <row r="349" spans="1:8" ht="12.75" customHeight="1">
      <c r="A349" s="27" t="s">
        <v>68</v>
      </c>
      <c r="B349" s="28"/>
      <c r="C349" s="29"/>
      <c r="D349" s="29"/>
      <c r="E349" s="29"/>
      <c r="F349" s="29"/>
      <c r="G349" s="26"/>
      <c r="H349" s="42"/>
    </row>
    <row r="350" spans="1:8" ht="12.75" customHeight="1">
      <c r="A350" s="27">
        <v>43542</v>
      </c>
      <c r="B350" s="28"/>
      <c r="C350" s="32">
        <f>ROUND(3.75719750078271,4)</f>
        <v>3.7572</v>
      </c>
      <c r="D350" s="32">
        <f>F350</f>
        <v>4.054</v>
      </c>
      <c r="E350" s="32">
        <f>F350</f>
        <v>4.054</v>
      </c>
      <c r="F350" s="32">
        <f>ROUND(4.054,4)</f>
        <v>4.054</v>
      </c>
      <c r="G350" s="26"/>
      <c r="H350" s="42"/>
    </row>
    <row r="351" spans="1:8" ht="12.75" customHeight="1">
      <c r="A351" s="27">
        <v>43630</v>
      </c>
      <c r="B351" s="28"/>
      <c r="C351" s="32">
        <f>ROUND(3.75719750078271,4)</f>
        <v>3.7572</v>
      </c>
      <c r="D351" s="32">
        <f>F351</f>
        <v>4.1017</v>
      </c>
      <c r="E351" s="32">
        <f>F351</f>
        <v>4.1017</v>
      </c>
      <c r="F351" s="32">
        <f>ROUND(4.1017,4)</f>
        <v>4.1017</v>
      </c>
      <c r="G351" s="26"/>
      <c r="H351" s="42"/>
    </row>
    <row r="352" spans="1:8" ht="12.75" customHeight="1">
      <c r="A352" s="27">
        <v>43724</v>
      </c>
      <c r="B352" s="28"/>
      <c r="C352" s="32">
        <f>ROUND(3.75719750078271,4)</f>
        <v>3.7572</v>
      </c>
      <c r="D352" s="32">
        <f>F352</f>
        <v>4.1556</v>
      </c>
      <c r="E352" s="32">
        <f>F352</f>
        <v>4.1556</v>
      </c>
      <c r="F352" s="32">
        <f>ROUND(4.1556,4)</f>
        <v>4.1556</v>
      </c>
      <c r="G352" s="26"/>
      <c r="H352" s="42"/>
    </row>
    <row r="353" spans="1:8" ht="12.75" customHeight="1">
      <c r="A353" s="27" t="s">
        <v>69</v>
      </c>
      <c r="B353" s="28"/>
      <c r="C353" s="29"/>
      <c r="D353" s="29"/>
      <c r="E353" s="29"/>
      <c r="F353" s="29"/>
      <c r="G353" s="26"/>
      <c r="H353" s="42"/>
    </row>
    <row r="354" spans="1:8" ht="12.75" customHeight="1">
      <c r="A354" s="27">
        <v>43542</v>
      </c>
      <c r="B354" s="28"/>
      <c r="C354" s="32">
        <f>ROUND(1.3056,4)</f>
        <v>1.3056</v>
      </c>
      <c r="D354" s="32">
        <f>F354</f>
        <v>1.3093</v>
      </c>
      <c r="E354" s="32">
        <f>F354</f>
        <v>1.3093</v>
      </c>
      <c r="F354" s="32">
        <f>ROUND(1.3093,4)</f>
        <v>1.3093</v>
      </c>
      <c r="G354" s="26"/>
      <c r="H354" s="42"/>
    </row>
    <row r="355" spans="1:8" ht="12.75" customHeight="1">
      <c r="A355" s="27">
        <v>43630</v>
      </c>
      <c r="B355" s="28"/>
      <c r="C355" s="32">
        <f>ROUND(1.3056,4)</f>
        <v>1.3056</v>
      </c>
      <c r="D355" s="32">
        <f>F355</f>
        <v>1.3155</v>
      </c>
      <c r="E355" s="32">
        <f>F355</f>
        <v>1.3155</v>
      </c>
      <c r="F355" s="32">
        <f>ROUND(1.3155,4)</f>
        <v>1.3155</v>
      </c>
      <c r="G355" s="26"/>
      <c r="H355" s="42"/>
    </row>
    <row r="356" spans="1:8" ht="12.75" customHeight="1">
      <c r="A356" s="27">
        <v>43724</v>
      </c>
      <c r="B356" s="28"/>
      <c r="C356" s="32">
        <f>ROUND(1.3056,4)</f>
        <v>1.3056</v>
      </c>
      <c r="D356" s="32">
        <f>F356</f>
        <v>1.3296</v>
      </c>
      <c r="E356" s="32">
        <f>F356</f>
        <v>1.3296</v>
      </c>
      <c r="F356" s="32">
        <f>ROUND(1.3296,4)</f>
        <v>1.3296</v>
      </c>
      <c r="G356" s="26"/>
      <c r="H356" s="42"/>
    </row>
    <row r="357" spans="1:8" ht="12.75" customHeight="1">
      <c r="A357" s="27">
        <v>43812</v>
      </c>
      <c r="B357" s="28"/>
      <c r="C357" s="32">
        <f>ROUND(1.3056,4)</f>
        <v>1.3056</v>
      </c>
      <c r="D357" s="32">
        <f>F357</f>
        <v>1.3374</v>
      </c>
      <c r="E357" s="32">
        <f>F357</f>
        <v>1.3374</v>
      </c>
      <c r="F357" s="32">
        <f>ROUND(1.3374,4)</f>
        <v>1.3374</v>
      </c>
      <c r="G357" s="26"/>
      <c r="H357" s="42"/>
    </row>
    <row r="358" spans="1:8" ht="12.75" customHeight="1">
      <c r="A358" s="27">
        <v>43906</v>
      </c>
      <c r="B358" s="28"/>
      <c r="C358" s="32">
        <f>ROUND(1.3056,4)</f>
        <v>1.3056</v>
      </c>
      <c r="D358" s="32">
        <f>F358</f>
        <v>1.4358</v>
      </c>
      <c r="E358" s="32">
        <f>F358</f>
        <v>1.4358</v>
      </c>
      <c r="F358" s="32">
        <f>ROUND(1.4358,4)</f>
        <v>1.4358</v>
      </c>
      <c r="G358" s="26"/>
      <c r="H358" s="42"/>
    </row>
    <row r="359" spans="1:8" ht="12.75" customHeight="1">
      <c r="A359" s="27">
        <v>43994</v>
      </c>
      <c r="B359" s="28"/>
      <c r="C359" s="32">
        <f>ROUND(1.3056,4)</f>
        <v>1.3056</v>
      </c>
      <c r="D359" s="32">
        <f>F359</f>
        <v>1.4547</v>
      </c>
      <c r="E359" s="32">
        <f>F359</f>
        <v>1.4547</v>
      </c>
      <c r="F359" s="32">
        <f>ROUND(1.4547,4)</f>
        <v>1.4547</v>
      </c>
      <c r="G359" s="26"/>
      <c r="H359" s="42"/>
    </row>
    <row r="360" spans="1:8" ht="12.75" customHeight="1">
      <c r="A360" s="27">
        <v>44088</v>
      </c>
      <c r="B360" s="28"/>
      <c r="C360" s="32">
        <f>ROUND(1.3056,4)</f>
        <v>1.3056</v>
      </c>
      <c r="D360" s="32">
        <f>F360</f>
        <v>1.4747</v>
      </c>
      <c r="E360" s="32">
        <f>F360</f>
        <v>1.4747</v>
      </c>
      <c r="F360" s="32">
        <f>ROUND(1.4747,4)</f>
        <v>1.4747</v>
      </c>
      <c r="G360" s="26"/>
      <c r="H360" s="42"/>
    </row>
    <row r="361" spans="1:8" ht="12.75" customHeight="1">
      <c r="A361" s="27">
        <v>44179</v>
      </c>
      <c r="B361" s="28"/>
      <c r="C361" s="32">
        <f>ROUND(1.3056,4)</f>
        <v>1.3056</v>
      </c>
      <c r="D361" s="32">
        <f>F361</f>
        <v>1.4961</v>
      </c>
      <c r="E361" s="32">
        <f>F361</f>
        <v>1.4961</v>
      </c>
      <c r="F361" s="32">
        <f>ROUND(1.4961,4)</f>
        <v>1.4961</v>
      </c>
      <c r="G361" s="26"/>
      <c r="H361" s="42"/>
    </row>
    <row r="362" spans="1:8" ht="12.75" customHeight="1">
      <c r="A362" s="27" t="s">
        <v>70</v>
      </c>
      <c r="B362" s="28"/>
      <c r="C362" s="29"/>
      <c r="D362" s="29"/>
      <c r="E362" s="29"/>
      <c r="F362" s="29"/>
      <c r="G362" s="26"/>
      <c r="H362" s="42"/>
    </row>
    <row r="363" spans="1:8" ht="12.75" customHeight="1">
      <c r="A363" s="27">
        <v>43542</v>
      </c>
      <c r="B363" s="28"/>
      <c r="C363" s="32">
        <f>ROUND(10.2833,4)</f>
        <v>10.2833</v>
      </c>
      <c r="D363" s="32">
        <f>F363</f>
        <v>10.3584</v>
      </c>
      <c r="E363" s="32">
        <f>F363</f>
        <v>10.3584</v>
      </c>
      <c r="F363" s="32">
        <f>ROUND(10.3584,4)</f>
        <v>10.3584</v>
      </c>
      <c r="G363" s="26"/>
      <c r="H363" s="42"/>
    </row>
    <row r="364" spans="1:8" ht="12.75" customHeight="1">
      <c r="A364" s="27">
        <v>43630</v>
      </c>
      <c r="B364" s="28"/>
      <c r="C364" s="32">
        <f>ROUND(10.2833,4)</f>
        <v>10.2833</v>
      </c>
      <c r="D364" s="32">
        <f>F364</f>
        <v>10.489</v>
      </c>
      <c r="E364" s="32">
        <f>F364</f>
        <v>10.489</v>
      </c>
      <c r="F364" s="32">
        <f>ROUND(10.489,4)</f>
        <v>10.489</v>
      </c>
      <c r="G364" s="26"/>
      <c r="H364" s="42"/>
    </row>
    <row r="365" spans="1:8" ht="12.75" customHeight="1">
      <c r="A365" s="27">
        <v>43724</v>
      </c>
      <c r="B365" s="28"/>
      <c r="C365" s="32">
        <f>ROUND(10.2833,4)</f>
        <v>10.2833</v>
      </c>
      <c r="D365" s="32">
        <f>F365</f>
        <v>10.6306</v>
      </c>
      <c r="E365" s="32">
        <f>F365</f>
        <v>10.6306</v>
      </c>
      <c r="F365" s="32">
        <f>ROUND(10.6306,4)</f>
        <v>10.6306</v>
      </c>
      <c r="G365" s="26"/>
      <c r="H365" s="42"/>
    </row>
    <row r="366" spans="1:8" ht="12.75" customHeight="1">
      <c r="A366" s="27">
        <v>43812</v>
      </c>
      <c r="B366" s="28"/>
      <c r="C366" s="32">
        <f>ROUND(10.2833,4)</f>
        <v>10.2833</v>
      </c>
      <c r="D366" s="32">
        <f>F366</f>
        <v>10.7628</v>
      </c>
      <c r="E366" s="32">
        <f>F366</f>
        <v>10.7628</v>
      </c>
      <c r="F366" s="32">
        <f>ROUND(10.7628,4)</f>
        <v>10.7628</v>
      </c>
      <c r="G366" s="26"/>
      <c r="H366" s="42"/>
    </row>
    <row r="367" spans="1:8" ht="12.75" customHeight="1">
      <c r="A367" s="27">
        <v>43906</v>
      </c>
      <c r="B367" s="28"/>
      <c r="C367" s="32">
        <f>ROUND(10.2833,4)</f>
        <v>10.2833</v>
      </c>
      <c r="D367" s="32">
        <f>F367</f>
        <v>10.9071</v>
      </c>
      <c r="E367" s="32">
        <f>F367</f>
        <v>10.9071</v>
      </c>
      <c r="F367" s="32">
        <f>ROUND(10.9071,4)</f>
        <v>10.9071</v>
      </c>
      <c r="G367" s="26"/>
      <c r="H367" s="42"/>
    </row>
    <row r="368" spans="1:8" ht="12.75" customHeight="1">
      <c r="A368" s="27">
        <v>43994</v>
      </c>
      <c r="B368" s="28"/>
      <c r="C368" s="32">
        <f>ROUND(10.2833,4)</f>
        <v>10.2833</v>
      </c>
      <c r="D368" s="32">
        <f>F368</f>
        <v>11.0647</v>
      </c>
      <c r="E368" s="32">
        <f>F368</f>
        <v>11.0647</v>
      </c>
      <c r="F368" s="32">
        <f>ROUND(11.0647,4)</f>
        <v>11.0647</v>
      </c>
      <c r="G368" s="26"/>
      <c r="H368" s="42"/>
    </row>
    <row r="369" spans="1:8" ht="12.75" customHeight="1">
      <c r="A369" s="27">
        <v>44088</v>
      </c>
      <c r="B369" s="28"/>
      <c r="C369" s="32">
        <f>ROUND(10.2833,4)</f>
        <v>10.2833</v>
      </c>
      <c r="D369" s="32">
        <f>F369</f>
        <v>11.0883</v>
      </c>
      <c r="E369" s="32">
        <f>F369</f>
        <v>11.0883</v>
      </c>
      <c r="F369" s="32">
        <f>ROUND(11.0883,4)</f>
        <v>11.0883</v>
      </c>
      <c r="G369" s="26"/>
      <c r="H369" s="42"/>
    </row>
    <row r="370" spans="1:8" ht="12.75" customHeight="1">
      <c r="A370" s="27">
        <v>44179</v>
      </c>
      <c r="B370" s="28"/>
      <c r="C370" s="32">
        <f>ROUND(10.2833,4)</f>
        <v>10.2833</v>
      </c>
      <c r="D370" s="32">
        <f>F370</f>
        <v>11.2249</v>
      </c>
      <c r="E370" s="32">
        <f>F370</f>
        <v>11.2249</v>
      </c>
      <c r="F370" s="32">
        <f>ROUND(11.2249,4)</f>
        <v>11.2249</v>
      </c>
      <c r="G370" s="26"/>
      <c r="H370" s="42"/>
    </row>
    <row r="371" spans="1:8" ht="12.75" customHeight="1">
      <c r="A371" s="27" t="s">
        <v>71</v>
      </c>
      <c r="B371" s="28"/>
      <c r="C371" s="29"/>
      <c r="D371" s="29"/>
      <c r="E371" s="29"/>
      <c r="F371" s="29"/>
      <c r="G371" s="26"/>
      <c r="H371" s="42"/>
    </row>
    <row r="372" spans="1:8" ht="12.75" customHeight="1">
      <c r="A372" s="27">
        <v>43542</v>
      </c>
      <c r="B372" s="28"/>
      <c r="C372" s="32">
        <f>ROUND(2.0166,4)</f>
        <v>2.0166</v>
      </c>
      <c r="D372" s="32">
        <f>F372</f>
        <v>2.0292</v>
      </c>
      <c r="E372" s="32">
        <f>F372</f>
        <v>2.0292</v>
      </c>
      <c r="F372" s="32">
        <f>ROUND(2.0292,4)</f>
        <v>2.0292</v>
      </c>
      <c r="G372" s="26"/>
      <c r="H372" s="42"/>
    </row>
    <row r="373" spans="1:8" ht="12.75" customHeight="1">
      <c r="A373" s="27">
        <v>43630</v>
      </c>
      <c r="B373" s="28"/>
      <c r="C373" s="32">
        <f>ROUND(2.0166,4)</f>
        <v>2.0166</v>
      </c>
      <c r="D373" s="32">
        <f>F373</f>
        <v>2.0501</v>
      </c>
      <c r="E373" s="32">
        <f>F373</f>
        <v>2.0501</v>
      </c>
      <c r="F373" s="32">
        <f>ROUND(2.0501,4)</f>
        <v>2.0501</v>
      </c>
      <c r="G373" s="26"/>
      <c r="H373" s="42"/>
    </row>
    <row r="374" spans="1:8" ht="12.75" customHeight="1">
      <c r="A374" s="27">
        <v>43724</v>
      </c>
      <c r="B374" s="28"/>
      <c r="C374" s="32">
        <f>ROUND(2.0166,4)</f>
        <v>2.0166</v>
      </c>
      <c r="D374" s="32">
        <f>F374</f>
        <v>2.0885</v>
      </c>
      <c r="E374" s="32">
        <f>F374</f>
        <v>2.0885</v>
      </c>
      <c r="F374" s="32">
        <f>ROUND(2.0885,4)</f>
        <v>2.0885</v>
      </c>
      <c r="G374" s="26"/>
      <c r="H374" s="42"/>
    </row>
    <row r="375" spans="1:8" ht="12.75" customHeight="1">
      <c r="A375" s="27">
        <v>43812</v>
      </c>
      <c r="B375" s="28"/>
      <c r="C375" s="32">
        <f>ROUND(2.0166,4)</f>
        <v>2.0166</v>
      </c>
      <c r="D375" s="32">
        <f>F375</f>
        <v>2.1105</v>
      </c>
      <c r="E375" s="32">
        <f>F375</f>
        <v>2.1105</v>
      </c>
      <c r="F375" s="32">
        <f>ROUND(2.1105,4)</f>
        <v>2.1105</v>
      </c>
      <c r="G375" s="26"/>
      <c r="H375" s="42"/>
    </row>
    <row r="376" spans="1:8" ht="12.75" customHeight="1">
      <c r="A376" s="27">
        <v>43906</v>
      </c>
      <c r="B376" s="28"/>
      <c r="C376" s="32">
        <f>ROUND(2.0166,4)</f>
        <v>2.0166</v>
      </c>
      <c r="D376" s="32">
        <f>F376</f>
        <v>2.135</v>
      </c>
      <c r="E376" s="32">
        <f>F376</f>
        <v>2.135</v>
      </c>
      <c r="F376" s="32">
        <f>ROUND(2.135,4)</f>
        <v>2.135</v>
      </c>
      <c r="G376" s="26"/>
      <c r="H376" s="42"/>
    </row>
    <row r="377" spans="1:8" ht="12.75" customHeight="1">
      <c r="A377" s="27">
        <v>43994</v>
      </c>
      <c r="B377" s="28"/>
      <c r="C377" s="32">
        <f>ROUND(2.0166,4)</f>
        <v>2.0166</v>
      </c>
      <c r="D377" s="32">
        <f>F377</f>
        <v>2.1586</v>
      </c>
      <c r="E377" s="32">
        <f>F377</f>
        <v>2.1586</v>
      </c>
      <c r="F377" s="32">
        <f>ROUND(2.1586,4)</f>
        <v>2.1586</v>
      </c>
      <c r="G377" s="26"/>
      <c r="H377" s="42"/>
    </row>
    <row r="378" spans="1:8" ht="12.75" customHeight="1">
      <c r="A378" s="27">
        <v>44088</v>
      </c>
      <c r="B378" s="28"/>
      <c r="C378" s="32">
        <f>ROUND(2.0166,4)</f>
        <v>2.0166</v>
      </c>
      <c r="D378" s="32">
        <f>F378</f>
        <v>2.1837</v>
      </c>
      <c r="E378" s="32">
        <f>F378</f>
        <v>2.1837</v>
      </c>
      <c r="F378" s="32">
        <f>ROUND(2.1837,4)</f>
        <v>2.1837</v>
      </c>
      <c r="G378" s="26"/>
      <c r="H378" s="42"/>
    </row>
    <row r="379" spans="1:8" ht="12.75" customHeight="1">
      <c r="A379" s="27">
        <v>44179</v>
      </c>
      <c r="B379" s="28"/>
      <c r="C379" s="32">
        <f>ROUND(2.0166,4)</f>
        <v>2.0166</v>
      </c>
      <c r="D379" s="32">
        <f>F379</f>
        <v>2.208</v>
      </c>
      <c r="E379" s="32">
        <f>F379</f>
        <v>2.208</v>
      </c>
      <c r="F379" s="32">
        <f>ROUND(2.208,4)</f>
        <v>2.208</v>
      </c>
      <c r="G379" s="26"/>
      <c r="H379" s="42"/>
    </row>
    <row r="380" spans="1:8" ht="12.75" customHeight="1">
      <c r="A380" s="27" t="s">
        <v>72</v>
      </c>
      <c r="B380" s="28"/>
      <c r="C380" s="29"/>
      <c r="D380" s="29"/>
      <c r="E380" s="29"/>
      <c r="F380" s="29"/>
      <c r="G380" s="26"/>
      <c r="H380" s="42"/>
    </row>
    <row r="381" spans="1:8" ht="12.75" customHeight="1">
      <c r="A381" s="27">
        <v>43542</v>
      </c>
      <c r="B381" s="28"/>
      <c r="C381" s="32">
        <f>ROUND(2.0783,4)</f>
        <v>2.0783</v>
      </c>
      <c r="D381" s="32">
        <f>F381</f>
        <v>2.1007</v>
      </c>
      <c r="E381" s="32">
        <f>F381</f>
        <v>2.1007</v>
      </c>
      <c r="F381" s="32">
        <f>ROUND(2.1007,4)</f>
        <v>2.1007</v>
      </c>
      <c r="G381" s="26"/>
      <c r="H381" s="42"/>
    </row>
    <row r="382" spans="1:8" ht="12.75" customHeight="1">
      <c r="A382" s="27">
        <v>43630</v>
      </c>
      <c r="B382" s="28"/>
      <c r="C382" s="32">
        <f>ROUND(2.0783,4)</f>
        <v>2.0783</v>
      </c>
      <c r="D382" s="32">
        <f>F382</f>
        <v>2.14</v>
      </c>
      <c r="E382" s="32">
        <f>F382</f>
        <v>2.14</v>
      </c>
      <c r="F382" s="32">
        <f>ROUND(2.14,4)</f>
        <v>2.14</v>
      </c>
      <c r="G382" s="26"/>
      <c r="H382" s="42"/>
    </row>
    <row r="383" spans="1:8" ht="12.75" customHeight="1">
      <c r="A383" s="27">
        <v>43724</v>
      </c>
      <c r="B383" s="28"/>
      <c r="C383" s="32">
        <f>ROUND(2.0783,4)</f>
        <v>2.0783</v>
      </c>
      <c r="D383" s="32">
        <f>F383</f>
        <v>2.1834</v>
      </c>
      <c r="E383" s="32">
        <f>F383</f>
        <v>2.1834</v>
      </c>
      <c r="F383" s="32">
        <f>ROUND(2.1834,4)</f>
        <v>2.1834</v>
      </c>
      <c r="G383" s="26"/>
      <c r="H383" s="42"/>
    </row>
    <row r="384" spans="1:8" ht="12.75" customHeight="1">
      <c r="A384" s="27">
        <v>43812</v>
      </c>
      <c r="B384" s="28"/>
      <c r="C384" s="32">
        <f>ROUND(2.0783,4)</f>
        <v>2.0783</v>
      </c>
      <c r="D384" s="32">
        <f>F384</f>
        <v>2.2246</v>
      </c>
      <c r="E384" s="32">
        <f>F384</f>
        <v>2.2246</v>
      </c>
      <c r="F384" s="32">
        <f>ROUND(2.2246,4)</f>
        <v>2.2246</v>
      </c>
      <c r="G384" s="26"/>
      <c r="H384" s="42"/>
    </row>
    <row r="385" spans="1:8" ht="12.75" customHeight="1">
      <c r="A385" s="27">
        <v>43906</v>
      </c>
      <c r="B385" s="28"/>
      <c r="C385" s="32">
        <f>ROUND(2.0783,4)</f>
        <v>2.0783</v>
      </c>
      <c r="D385" s="32">
        <f>F385</f>
        <v>2.2703</v>
      </c>
      <c r="E385" s="32">
        <f>F385</f>
        <v>2.2703</v>
      </c>
      <c r="F385" s="32">
        <f>ROUND(2.2703,4)</f>
        <v>2.2703</v>
      </c>
      <c r="G385" s="26"/>
      <c r="H385" s="42"/>
    </row>
    <row r="386" spans="1:8" ht="12.75" customHeight="1">
      <c r="A386" s="27">
        <v>43994</v>
      </c>
      <c r="B386" s="28"/>
      <c r="C386" s="32">
        <f>ROUND(2.0783,4)</f>
        <v>2.0783</v>
      </c>
      <c r="D386" s="32">
        <f>F386</f>
        <v>2.431</v>
      </c>
      <c r="E386" s="32">
        <f>F386</f>
        <v>2.431</v>
      </c>
      <c r="F386" s="32">
        <f>ROUND(2.431,4)</f>
        <v>2.431</v>
      </c>
      <c r="G386" s="26"/>
      <c r="H386" s="42"/>
    </row>
    <row r="387" spans="1:8" ht="12.75" customHeight="1">
      <c r="A387" s="27">
        <v>44088</v>
      </c>
      <c r="B387" s="28"/>
      <c r="C387" s="32">
        <f>ROUND(2.0783,4)</f>
        <v>2.0783</v>
      </c>
      <c r="D387" s="32">
        <f>F387</f>
        <v>2.4953</v>
      </c>
      <c r="E387" s="32">
        <f>F387</f>
        <v>2.4953</v>
      </c>
      <c r="F387" s="32">
        <f>ROUND(2.4953,4)</f>
        <v>2.4953</v>
      </c>
      <c r="G387" s="26"/>
      <c r="H387" s="42"/>
    </row>
    <row r="388" spans="1:8" ht="12.75" customHeight="1">
      <c r="A388" s="27">
        <v>44179</v>
      </c>
      <c r="B388" s="28"/>
      <c r="C388" s="32">
        <f>ROUND(2.0783,4)</f>
        <v>2.0783</v>
      </c>
      <c r="D388" s="32">
        <f>F388</f>
        <v>2.5626</v>
      </c>
      <c r="E388" s="32">
        <f>F388</f>
        <v>2.5626</v>
      </c>
      <c r="F388" s="32">
        <f>ROUND(2.5626,4)</f>
        <v>2.5626</v>
      </c>
      <c r="G388" s="26"/>
      <c r="H388" s="42"/>
    </row>
    <row r="389" spans="1:8" ht="12.75" customHeight="1">
      <c r="A389" s="27" t="s">
        <v>73</v>
      </c>
      <c r="B389" s="28"/>
      <c r="C389" s="29"/>
      <c r="D389" s="29"/>
      <c r="E389" s="29"/>
      <c r="F389" s="29"/>
      <c r="G389" s="26"/>
      <c r="H389" s="42"/>
    </row>
    <row r="390" spans="1:8" ht="12.75" customHeight="1">
      <c r="A390" s="27">
        <v>43542</v>
      </c>
      <c r="B390" s="28"/>
      <c r="C390" s="32">
        <f>ROUND(15.516,4)</f>
        <v>15.516</v>
      </c>
      <c r="D390" s="32">
        <f>F390</f>
        <v>15.6784</v>
      </c>
      <c r="E390" s="32">
        <f>F390</f>
        <v>15.6784</v>
      </c>
      <c r="F390" s="32">
        <f>ROUND(15.6784,4)</f>
        <v>15.6784</v>
      </c>
      <c r="G390" s="26"/>
      <c r="H390" s="42"/>
    </row>
    <row r="391" spans="1:8" ht="12.75" customHeight="1">
      <c r="A391" s="27">
        <v>43630</v>
      </c>
      <c r="B391" s="28"/>
      <c r="C391" s="32">
        <f>ROUND(15.516,4)</f>
        <v>15.516</v>
      </c>
      <c r="D391" s="32">
        <f>F391</f>
        <v>15.9646</v>
      </c>
      <c r="E391" s="32">
        <f>F391</f>
        <v>15.9646</v>
      </c>
      <c r="F391" s="32">
        <f>ROUND(15.9646,4)</f>
        <v>15.9646</v>
      </c>
      <c r="G391" s="26"/>
      <c r="H391" s="42"/>
    </row>
    <row r="392" spans="1:8" ht="12.75" customHeight="1">
      <c r="A392" s="27">
        <v>43724</v>
      </c>
      <c r="B392" s="28"/>
      <c r="C392" s="32">
        <f>ROUND(15.516,4)</f>
        <v>15.516</v>
      </c>
      <c r="D392" s="32">
        <f>F392</f>
        <v>16.281</v>
      </c>
      <c r="E392" s="32">
        <f>F392</f>
        <v>16.281</v>
      </c>
      <c r="F392" s="32">
        <f>ROUND(16.281,4)</f>
        <v>16.281</v>
      </c>
      <c r="G392" s="26"/>
      <c r="H392" s="42"/>
    </row>
    <row r="393" spans="1:8" ht="12.75" customHeight="1">
      <c r="A393" s="27">
        <v>43812</v>
      </c>
      <c r="B393" s="28"/>
      <c r="C393" s="32">
        <f>ROUND(15.516,4)</f>
        <v>15.516</v>
      </c>
      <c r="D393" s="32">
        <f>F393</f>
        <v>16.5818</v>
      </c>
      <c r="E393" s="32">
        <f>F393</f>
        <v>16.5818</v>
      </c>
      <c r="F393" s="32">
        <f>ROUND(16.5818,4)</f>
        <v>16.5818</v>
      </c>
      <c r="G393" s="26"/>
      <c r="H393" s="42"/>
    </row>
    <row r="394" spans="1:8" ht="12.75" customHeight="1">
      <c r="A394" s="27">
        <v>43906</v>
      </c>
      <c r="B394" s="28"/>
      <c r="C394" s="32">
        <f>ROUND(15.516,4)</f>
        <v>15.516</v>
      </c>
      <c r="D394" s="32">
        <f>F394</f>
        <v>16.9174</v>
      </c>
      <c r="E394" s="32">
        <f>F394</f>
        <v>16.9174</v>
      </c>
      <c r="F394" s="32">
        <f>ROUND(16.9174,4)</f>
        <v>16.9174</v>
      </c>
      <c r="G394" s="26"/>
      <c r="H394" s="42"/>
    </row>
    <row r="395" spans="1:8" ht="12.75" customHeight="1">
      <c r="A395" s="27">
        <v>43994</v>
      </c>
      <c r="B395" s="28"/>
      <c r="C395" s="32">
        <f>ROUND(15.516,4)</f>
        <v>15.516</v>
      </c>
      <c r="D395" s="32">
        <f>F395</f>
        <v>17.4488</v>
      </c>
      <c r="E395" s="32">
        <f>F395</f>
        <v>17.4488</v>
      </c>
      <c r="F395" s="32">
        <f>ROUND(17.4488,4)</f>
        <v>17.4488</v>
      </c>
      <c r="G395" s="26"/>
      <c r="H395" s="42"/>
    </row>
    <row r="396" spans="1:8" ht="12.75" customHeight="1">
      <c r="A396" s="27">
        <v>44088</v>
      </c>
      <c r="B396" s="28"/>
      <c r="C396" s="32">
        <f>ROUND(15.516,4)</f>
        <v>15.516</v>
      </c>
      <c r="D396" s="32">
        <f>F396</f>
        <v>17.8689</v>
      </c>
      <c r="E396" s="32">
        <f>F396</f>
        <v>17.8689</v>
      </c>
      <c r="F396" s="32">
        <f>ROUND(17.8689,4)</f>
        <v>17.8689</v>
      </c>
      <c r="G396" s="26"/>
      <c r="H396" s="42"/>
    </row>
    <row r="397" spans="1:8" ht="12.75" customHeight="1">
      <c r="A397" s="27">
        <v>44179</v>
      </c>
      <c r="B397" s="28"/>
      <c r="C397" s="32">
        <f>ROUND(15.516,4)</f>
        <v>15.516</v>
      </c>
      <c r="D397" s="32">
        <f>F397</f>
        <v>18.2805</v>
      </c>
      <c r="E397" s="32">
        <f>F397</f>
        <v>18.2805</v>
      </c>
      <c r="F397" s="32">
        <f>ROUND(18.2805,4)</f>
        <v>18.2805</v>
      </c>
      <c r="G397" s="26"/>
      <c r="H397" s="42"/>
    </row>
    <row r="398" spans="1:8" ht="12.75" customHeight="1">
      <c r="A398" s="27" t="s">
        <v>74</v>
      </c>
      <c r="B398" s="28"/>
      <c r="C398" s="29"/>
      <c r="D398" s="29"/>
      <c r="E398" s="29"/>
      <c r="F398" s="29"/>
      <c r="G398" s="26"/>
      <c r="H398" s="42"/>
    </row>
    <row r="399" spans="1:8" ht="12.75" customHeight="1">
      <c r="A399" s="27">
        <v>43542</v>
      </c>
      <c r="B399" s="28"/>
      <c r="C399" s="32">
        <f>ROUND(13.7073,4)</f>
        <v>13.7073</v>
      </c>
      <c r="D399" s="32">
        <f>F399</f>
        <v>13.858</v>
      </c>
      <c r="E399" s="32">
        <f>F399</f>
        <v>13.858</v>
      </c>
      <c r="F399" s="32">
        <f>ROUND(13.858,4)</f>
        <v>13.858</v>
      </c>
      <c r="G399" s="26"/>
      <c r="H399" s="42"/>
    </row>
    <row r="400" spans="1:8" ht="12.75" customHeight="1">
      <c r="A400" s="27">
        <v>43630</v>
      </c>
      <c r="B400" s="28"/>
      <c r="C400" s="32">
        <f>ROUND(13.7073,4)</f>
        <v>13.7073</v>
      </c>
      <c r="D400" s="32">
        <f>F400</f>
        <v>14.1241</v>
      </c>
      <c r="E400" s="32">
        <f>F400</f>
        <v>14.1241</v>
      </c>
      <c r="F400" s="32">
        <f>ROUND(14.1241,4)</f>
        <v>14.1241</v>
      </c>
      <c r="G400" s="26"/>
      <c r="H400" s="42"/>
    </row>
    <row r="401" spans="1:8" ht="12.75" customHeight="1">
      <c r="A401" s="27">
        <v>43724</v>
      </c>
      <c r="B401" s="28"/>
      <c r="C401" s="32">
        <f>ROUND(13.7073,4)</f>
        <v>13.7073</v>
      </c>
      <c r="D401" s="32">
        <f>F401</f>
        <v>14.4194</v>
      </c>
      <c r="E401" s="32">
        <f>F401</f>
        <v>14.4194</v>
      </c>
      <c r="F401" s="32">
        <f>ROUND(14.4194,4)</f>
        <v>14.4194</v>
      </c>
      <c r="G401" s="26"/>
      <c r="H401" s="42"/>
    </row>
    <row r="402" spans="1:8" ht="12.75" customHeight="1">
      <c r="A402" s="27">
        <v>43812</v>
      </c>
      <c r="B402" s="28"/>
      <c r="C402" s="32">
        <f>ROUND(13.7073,4)</f>
        <v>13.7073</v>
      </c>
      <c r="D402" s="32">
        <f>F402</f>
        <v>14.701</v>
      </c>
      <c r="E402" s="32">
        <f>F402</f>
        <v>14.701</v>
      </c>
      <c r="F402" s="32">
        <f>ROUND(14.701,4)</f>
        <v>14.701</v>
      </c>
      <c r="G402" s="26"/>
      <c r="H402" s="42"/>
    </row>
    <row r="403" spans="1:8" ht="12.75" customHeight="1">
      <c r="A403" s="27">
        <v>43906</v>
      </c>
      <c r="B403" s="28"/>
      <c r="C403" s="32">
        <f>ROUND(13.7073,4)</f>
        <v>13.7073</v>
      </c>
      <c r="D403" s="32">
        <f>F403</f>
        <v>15.016</v>
      </c>
      <c r="E403" s="32">
        <f>F403</f>
        <v>15.016</v>
      </c>
      <c r="F403" s="32">
        <f>ROUND(15.016,4)</f>
        <v>15.016</v>
      </c>
      <c r="G403" s="26"/>
      <c r="H403" s="42"/>
    </row>
    <row r="404" spans="1:8" ht="12.75" customHeight="1">
      <c r="A404" s="27">
        <v>43994</v>
      </c>
      <c r="B404" s="28"/>
      <c r="C404" s="32">
        <f>ROUND(13.7073,4)</f>
        <v>13.7073</v>
      </c>
      <c r="D404" s="32">
        <f>F404</f>
        <v>15.7997</v>
      </c>
      <c r="E404" s="32">
        <f>F404</f>
        <v>15.7997</v>
      </c>
      <c r="F404" s="32">
        <f>ROUND(15.7997,4)</f>
        <v>15.7997</v>
      </c>
      <c r="G404" s="26"/>
      <c r="H404" s="42"/>
    </row>
    <row r="405" spans="1:8" ht="12.75" customHeight="1">
      <c r="A405" s="27">
        <v>44088</v>
      </c>
      <c r="B405" s="28"/>
      <c r="C405" s="32">
        <f>ROUND(13.7073,4)</f>
        <v>13.7073</v>
      </c>
      <c r="D405" s="32">
        <f>F405</f>
        <v>16.0772</v>
      </c>
      <c r="E405" s="32">
        <f>F405</f>
        <v>16.0772</v>
      </c>
      <c r="F405" s="32">
        <f>ROUND(16.0772,4)</f>
        <v>16.0772</v>
      </c>
      <c r="G405" s="26"/>
      <c r="H405" s="42"/>
    </row>
    <row r="406" spans="1:8" ht="12.75" customHeight="1">
      <c r="A406" s="27">
        <v>44179</v>
      </c>
      <c r="B406" s="28"/>
      <c r="C406" s="32">
        <f>ROUND(13.7073,4)</f>
        <v>13.7073</v>
      </c>
      <c r="D406" s="32">
        <f>F406</f>
        <v>16.3677</v>
      </c>
      <c r="E406" s="32">
        <f>F406</f>
        <v>16.3677</v>
      </c>
      <c r="F406" s="32">
        <f>ROUND(16.3677,4)</f>
        <v>16.3677</v>
      </c>
      <c r="G406" s="26"/>
      <c r="H406" s="42"/>
    </row>
    <row r="407" spans="1:8" ht="12.75" customHeight="1">
      <c r="A407" s="27" t="s">
        <v>75</v>
      </c>
      <c r="B407" s="28"/>
      <c r="C407" s="29"/>
      <c r="D407" s="29"/>
      <c r="E407" s="29"/>
      <c r="F407" s="29"/>
      <c r="G407" s="26"/>
      <c r="H407" s="42"/>
    </row>
    <row r="408" spans="1:8" ht="12.75" customHeight="1">
      <c r="A408" s="27">
        <v>43542</v>
      </c>
      <c r="B408" s="28"/>
      <c r="C408" s="32">
        <f>ROUND(17.8979,4)</f>
        <v>17.8979</v>
      </c>
      <c r="D408" s="32">
        <f>F408</f>
        <v>18.0539</v>
      </c>
      <c r="E408" s="32">
        <f>F408</f>
        <v>18.0539</v>
      </c>
      <c r="F408" s="32">
        <f>ROUND(18.0539,4)</f>
        <v>18.0539</v>
      </c>
      <c r="G408" s="26"/>
      <c r="H408" s="42"/>
    </row>
    <row r="409" spans="1:8" ht="12.75" customHeight="1">
      <c r="A409" s="27">
        <v>43630</v>
      </c>
      <c r="B409" s="28"/>
      <c r="C409" s="32">
        <f>ROUND(17.8979,4)</f>
        <v>17.8979</v>
      </c>
      <c r="D409" s="32">
        <f>F409</f>
        <v>18.3247</v>
      </c>
      <c r="E409" s="32">
        <f>F409</f>
        <v>18.3247</v>
      </c>
      <c r="F409" s="32">
        <f>ROUND(18.3247,4)</f>
        <v>18.3247</v>
      </c>
      <c r="G409" s="26"/>
      <c r="H409" s="42"/>
    </row>
    <row r="410" spans="1:8" ht="12.75" customHeight="1">
      <c r="A410" s="27">
        <v>43724</v>
      </c>
      <c r="B410" s="28"/>
      <c r="C410" s="32">
        <f>ROUND(17.8979,4)</f>
        <v>17.8979</v>
      </c>
      <c r="D410" s="32">
        <f>F410</f>
        <v>18.6193</v>
      </c>
      <c r="E410" s="32">
        <f>F410</f>
        <v>18.6193</v>
      </c>
      <c r="F410" s="32">
        <f>ROUND(18.6193,4)</f>
        <v>18.6193</v>
      </c>
      <c r="G410" s="26"/>
      <c r="H410" s="42"/>
    </row>
    <row r="411" spans="1:8" ht="12.75" customHeight="1">
      <c r="A411" s="27">
        <v>43812</v>
      </c>
      <c r="B411" s="28"/>
      <c r="C411" s="32">
        <f>ROUND(17.8979,4)</f>
        <v>17.8979</v>
      </c>
      <c r="D411" s="32">
        <f>F411</f>
        <v>18.897</v>
      </c>
      <c r="E411" s="32">
        <f>F411</f>
        <v>18.897</v>
      </c>
      <c r="F411" s="32">
        <f>ROUND(18.897,4)</f>
        <v>18.897</v>
      </c>
      <c r="G411" s="26"/>
      <c r="H411" s="42"/>
    </row>
    <row r="412" spans="1:8" ht="12.75" customHeight="1">
      <c r="A412" s="27">
        <v>43906</v>
      </c>
      <c r="B412" s="28"/>
      <c r="C412" s="32">
        <f>ROUND(17.8979,4)</f>
        <v>17.8979</v>
      </c>
      <c r="D412" s="32">
        <f>F412</f>
        <v>19.2006</v>
      </c>
      <c r="E412" s="32">
        <f>F412</f>
        <v>19.2006</v>
      </c>
      <c r="F412" s="32">
        <f>ROUND(19.2006,4)</f>
        <v>19.2006</v>
      </c>
      <c r="G412" s="26"/>
      <c r="H412" s="42"/>
    </row>
    <row r="413" spans="1:8" ht="12.75" customHeight="1">
      <c r="A413" s="27">
        <v>43994</v>
      </c>
      <c r="B413" s="28"/>
      <c r="C413" s="32">
        <f>ROUND(17.8979,4)</f>
        <v>17.8979</v>
      </c>
      <c r="D413" s="32">
        <f>F413</f>
        <v>19.442</v>
      </c>
      <c r="E413" s="32">
        <f>F413</f>
        <v>19.442</v>
      </c>
      <c r="F413" s="32">
        <f>ROUND(19.442,4)</f>
        <v>19.442</v>
      </c>
      <c r="G413" s="26"/>
      <c r="H413" s="42"/>
    </row>
    <row r="414" spans="1:8" ht="12.75" customHeight="1">
      <c r="A414" s="27">
        <v>44088</v>
      </c>
      <c r="B414" s="28"/>
      <c r="C414" s="32">
        <f>ROUND(17.8979,4)</f>
        <v>17.8979</v>
      </c>
      <c r="D414" s="32">
        <f>F414</f>
        <v>19.5121</v>
      </c>
      <c r="E414" s="32">
        <f>F414</f>
        <v>19.5121</v>
      </c>
      <c r="F414" s="32">
        <f>ROUND(19.5121,4)</f>
        <v>19.5121</v>
      </c>
      <c r="G414" s="26"/>
      <c r="H414" s="42"/>
    </row>
    <row r="415" spans="1:8" ht="12.75" customHeight="1">
      <c r="A415" s="27">
        <v>44179</v>
      </c>
      <c r="B415" s="28"/>
      <c r="C415" s="32">
        <f>ROUND(17.8979,4)</f>
        <v>17.8979</v>
      </c>
      <c r="D415" s="32">
        <f>F415</f>
        <v>20.0497</v>
      </c>
      <c r="E415" s="32">
        <f>F415</f>
        <v>20.0497</v>
      </c>
      <c r="F415" s="32">
        <f>ROUND(20.0497,4)</f>
        <v>20.0497</v>
      </c>
      <c r="G415" s="26"/>
      <c r="H415" s="42"/>
    </row>
    <row r="416" spans="1:8" ht="12.75" customHeight="1">
      <c r="A416" s="27" t="s">
        <v>76</v>
      </c>
      <c r="B416" s="28"/>
      <c r="C416" s="29"/>
      <c r="D416" s="29"/>
      <c r="E416" s="29"/>
      <c r="F416" s="29"/>
      <c r="G416" s="26"/>
      <c r="H416" s="42"/>
    </row>
    <row r="417" spans="1:8" ht="12.75" customHeight="1">
      <c r="A417" s="27">
        <v>43542</v>
      </c>
      <c r="B417" s="28"/>
      <c r="C417" s="32">
        <f>ROUND(1.7369,4)</f>
        <v>1.7369</v>
      </c>
      <c r="D417" s="32">
        <f>F417</f>
        <v>1.7511</v>
      </c>
      <c r="E417" s="32">
        <f>F417</f>
        <v>1.7511</v>
      </c>
      <c r="F417" s="32">
        <f>ROUND(1.7511,4)</f>
        <v>1.7511</v>
      </c>
      <c r="G417" s="26"/>
      <c r="H417" s="42"/>
    </row>
    <row r="418" spans="1:8" ht="12.75" customHeight="1">
      <c r="A418" s="27">
        <v>43630</v>
      </c>
      <c r="B418" s="28"/>
      <c r="C418" s="32">
        <f>ROUND(1.7369,4)</f>
        <v>1.7369</v>
      </c>
      <c r="D418" s="32">
        <f>F418</f>
        <v>1.7735</v>
      </c>
      <c r="E418" s="32">
        <f>F418</f>
        <v>1.7735</v>
      </c>
      <c r="F418" s="32">
        <f>ROUND(1.7735,4)</f>
        <v>1.7735</v>
      </c>
      <c r="G418" s="26"/>
      <c r="H418" s="42"/>
    </row>
    <row r="419" spans="1:8" ht="12.75" customHeight="1">
      <c r="A419" s="27">
        <v>43724</v>
      </c>
      <c r="B419" s="28"/>
      <c r="C419" s="32">
        <f>ROUND(1.7369,4)</f>
        <v>1.7369</v>
      </c>
      <c r="D419" s="32">
        <f>F419</f>
        <v>1.8202</v>
      </c>
      <c r="E419" s="32">
        <f>F419</f>
        <v>1.8202</v>
      </c>
      <c r="F419" s="32">
        <f>ROUND(1.8202,4)</f>
        <v>1.8202</v>
      </c>
      <c r="G419" s="26"/>
      <c r="H419" s="42"/>
    </row>
    <row r="420" spans="1:8" ht="12.75" customHeight="1">
      <c r="A420" s="27">
        <v>43812</v>
      </c>
      <c r="B420" s="28"/>
      <c r="C420" s="32">
        <f>ROUND(1.7369,4)</f>
        <v>1.7369</v>
      </c>
      <c r="D420" s="32">
        <f>F420</f>
        <v>1.8424</v>
      </c>
      <c r="E420" s="32">
        <f>F420</f>
        <v>1.8424</v>
      </c>
      <c r="F420" s="32">
        <f>ROUND(1.8424,4)</f>
        <v>1.8424</v>
      </c>
      <c r="G420" s="26"/>
      <c r="H420" s="42"/>
    </row>
    <row r="421" spans="1:8" ht="12.75" customHeight="1">
      <c r="A421" s="27">
        <v>43906</v>
      </c>
      <c r="B421" s="28"/>
      <c r="C421" s="32">
        <f>ROUND(1.7369,4)</f>
        <v>1.7369</v>
      </c>
      <c r="D421" s="32">
        <f>F421</f>
        <v>1.9344</v>
      </c>
      <c r="E421" s="32">
        <f>F421</f>
        <v>1.9344</v>
      </c>
      <c r="F421" s="32">
        <f>ROUND(1.9344,4)</f>
        <v>1.9344</v>
      </c>
      <c r="G421" s="26"/>
      <c r="H421" s="42"/>
    </row>
    <row r="422" spans="1:8" ht="12.75" customHeight="1">
      <c r="A422" s="27">
        <v>43994</v>
      </c>
      <c r="B422" s="28"/>
      <c r="C422" s="32">
        <f>ROUND(1.7369,4)</f>
        <v>1.7369</v>
      </c>
      <c r="D422" s="32">
        <f>F422</f>
        <v>1.9614</v>
      </c>
      <c r="E422" s="32">
        <f>F422</f>
        <v>1.9614</v>
      </c>
      <c r="F422" s="32">
        <f>ROUND(1.9614,4)</f>
        <v>1.9614</v>
      </c>
      <c r="G422" s="26"/>
      <c r="H422" s="42"/>
    </row>
    <row r="423" spans="1:8" ht="12.75" customHeight="1">
      <c r="A423" s="27">
        <v>44088</v>
      </c>
      <c r="B423" s="28"/>
      <c r="C423" s="32">
        <f>ROUND(1.7369,4)</f>
        <v>1.7369</v>
      </c>
      <c r="D423" s="32">
        <f>F423</f>
        <v>1.9902</v>
      </c>
      <c r="E423" s="32">
        <f>F423</f>
        <v>1.9902</v>
      </c>
      <c r="F423" s="32">
        <f>ROUND(1.9902,4)</f>
        <v>1.9902</v>
      </c>
      <c r="G423" s="26"/>
      <c r="H423" s="42"/>
    </row>
    <row r="424" spans="1:8" ht="12.75" customHeight="1">
      <c r="A424" s="27">
        <v>44179</v>
      </c>
      <c r="B424" s="28"/>
      <c r="C424" s="32">
        <f>ROUND(1.7369,4)</f>
        <v>1.7369</v>
      </c>
      <c r="D424" s="32">
        <f>F424</f>
        <v>2.0208</v>
      </c>
      <c r="E424" s="32">
        <f>F424</f>
        <v>2.0208</v>
      </c>
      <c r="F424" s="32">
        <f>ROUND(2.0208,4)</f>
        <v>2.0208</v>
      </c>
      <c r="G424" s="26"/>
      <c r="H424" s="42"/>
    </row>
    <row r="425" spans="1:8" ht="12.75" customHeight="1">
      <c r="A425" s="27" t="s">
        <v>77</v>
      </c>
      <c r="B425" s="28"/>
      <c r="C425" s="29"/>
      <c r="D425" s="29"/>
      <c r="E425" s="29"/>
      <c r="F425" s="29"/>
      <c r="G425" s="26"/>
      <c r="H425" s="42"/>
    </row>
    <row r="426" spans="1:8" ht="12.75" customHeight="1">
      <c r="A426" s="27">
        <v>43542</v>
      </c>
      <c r="B426" s="28"/>
      <c r="C426" s="33">
        <f>ROUND(0.124356,6)</f>
        <v>0.124356</v>
      </c>
      <c r="D426" s="33">
        <f>F426</f>
        <v>0.1256</v>
      </c>
      <c r="E426" s="33">
        <f>F426</f>
        <v>0.1256</v>
      </c>
      <c r="F426" s="33">
        <f>ROUND(0.1256,6)</f>
        <v>0.1256</v>
      </c>
      <c r="G426" s="26"/>
      <c r="H426" s="42"/>
    </row>
    <row r="427" spans="1:8" ht="12.75" customHeight="1">
      <c r="A427" s="27">
        <v>43630</v>
      </c>
      <c r="B427" s="28"/>
      <c r="C427" s="33">
        <f>ROUND(0.124356,6)</f>
        <v>0.124356</v>
      </c>
      <c r="D427" s="33">
        <f>F427</f>
        <v>0.1279</v>
      </c>
      <c r="E427" s="33">
        <f>F427</f>
        <v>0.1279</v>
      </c>
      <c r="F427" s="33">
        <f>ROUND(0.1279,6)</f>
        <v>0.1279</v>
      </c>
      <c r="G427" s="26"/>
      <c r="H427" s="42"/>
    </row>
    <row r="428" spans="1:8" ht="12.75" customHeight="1">
      <c r="A428" s="27">
        <v>43724</v>
      </c>
      <c r="B428" s="28"/>
      <c r="C428" s="33">
        <f>ROUND(0.124356,6)</f>
        <v>0.124356</v>
      </c>
      <c r="D428" s="33">
        <f>F428</f>
        <v>0.1304</v>
      </c>
      <c r="E428" s="33">
        <f>F428</f>
        <v>0.1304</v>
      </c>
      <c r="F428" s="33">
        <f>ROUND(0.1304,6)</f>
        <v>0.1304</v>
      </c>
      <c r="G428" s="26"/>
      <c r="H428" s="42"/>
    </row>
    <row r="429" spans="1:8" ht="12.75" customHeight="1">
      <c r="A429" s="27">
        <v>43812</v>
      </c>
      <c r="B429" s="28"/>
      <c r="C429" s="33">
        <f>ROUND(0.124356,6)</f>
        <v>0.124356</v>
      </c>
      <c r="D429" s="33">
        <f>F429</f>
        <v>0.1328</v>
      </c>
      <c r="E429" s="33">
        <f>F429</f>
        <v>0.1328</v>
      </c>
      <c r="F429" s="33">
        <f>ROUND(0.1328,6)</f>
        <v>0.1328</v>
      </c>
      <c r="G429" s="26"/>
      <c r="H429" s="42"/>
    </row>
    <row r="430" spans="1:8" ht="12.75" customHeight="1">
      <c r="A430" s="27">
        <v>43906</v>
      </c>
      <c r="B430" s="28"/>
      <c r="C430" s="33">
        <f>ROUND(0.124356,6)</f>
        <v>0.124356</v>
      </c>
      <c r="D430" s="33">
        <f>F430</f>
        <v>0.1355</v>
      </c>
      <c r="E430" s="33">
        <f>F430</f>
        <v>0.1355</v>
      </c>
      <c r="F430" s="33">
        <f>ROUND(0.1355,6)</f>
        <v>0.1355</v>
      </c>
      <c r="G430" s="26"/>
      <c r="H430" s="42"/>
    </row>
    <row r="431" spans="1:8" ht="12.75" customHeight="1">
      <c r="A431" s="27">
        <v>43994</v>
      </c>
      <c r="B431" s="28"/>
      <c r="C431" s="33">
        <f>ROUND(0.124356,6)</f>
        <v>0.124356</v>
      </c>
      <c r="D431" s="33">
        <f>F431</f>
        <v>0.143665</v>
      </c>
      <c r="E431" s="33">
        <f>F431</f>
        <v>0.143665</v>
      </c>
      <c r="F431" s="33">
        <f>ROUND(0.143665,6)</f>
        <v>0.143665</v>
      </c>
      <c r="G431" s="26"/>
      <c r="H431" s="42"/>
    </row>
    <row r="432" spans="1:8" ht="12.75" customHeight="1">
      <c r="A432" s="27">
        <v>44088</v>
      </c>
      <c r="B432" s="28"/>
      <c r="C432" s="33">
        <f>ROUND(0.124356,6)</f>
        <v>0.124356</v>
      </c>
      <c r="D432" s="33">
        <f>F432</f>
        <v>0.146068</v>
      </c>
      <c r="E432" s="33">
        <f>F432</f>
        <v>0.146068</v>
      </c>
      <c r="F432" s="33">
        <f>ROUND(0.146068,6)</f>
        <v>0.146068</v>
      </c>
      <c r="G432" s="26"/>
      <c r="H432" s="42"/>
    </row>
    <row r="433" spans="1:8" ht="12.75" customHeight="1">
      <c r="A433" s="27">
        <v>44179</v>
      </c>
      <c r="B433" s="28"/>
      <c r="C433" s="33">
        <f>ROUND(0.124356,6)</f>
        <v>0.124356</v>
      </c>
      <c r="D433" s="33">
        <f>F433</f>
        <v>0.148093</v>
      </c>
      <c r="E433" s="33">
        <f>F433</f>
        <v>0.148093</v>
      </c>
      <c r="F433" s="33">
        <f>ROUND(0.148093,6)</f>
        <v>0.148093</v>
      </c>
      <c r="G433" s="26"/>
      <c r="H433" s="42"/>
    </row>
    <row r="434" spans="1:8" ht="12.75" customHeight="1">
      <c r="A434" s="27" t="s">
        <v>78</v>
      </c>
      <c r="B434" s="28"/>
      <c r="C434" s="29"/>
      <c r="D434" s="29"/>
      <c r="E434" s="29"/>
      <c r="F434" s="29"/>
      <c r="G434" s="26"/>
      <c r="H434" s="42"/>
    </row>
    <row r="435" spans="1:8" ht="12.75" customHeight="1">
      <c r="A435" s="27">
        <v>43542</v>
      </c>
      <c r="B435" s="28"/>
      <c r="C435" s="32">
        <f>ROUND(0.1353,4)</f>
        <v>0.1353</v>
      </c>
      <c r="D435" s="32">
        <f>F435</f>
        <v>0.1347</v>
      </c>
      <c r="E435" s="32">
        <f>F435</f>
        <v>0.1347</v>
      </c>
      <c r="F435" s="32">
        <f>ROUND(0.1347,4)</f>
        <v>0.1347</v>
      </c>
      <c r="G435" s="26"/>
      <c r="H435" s="42"/>
    </row>
    <row r="436" spans="1:8" ht="12.75" customHeight="1">
      <c r="A436" s="27">
        <v>43630</v>
      </c>
      <c r="B436" s="28"/>
      <c r="C436" s="32">
        <f>ROUND(0.1353,4)</f>
        <v>0.1353</v>
      </c>
      <c r="D436" s="32">
        <f>F436</f>
        <v>0.1334</v>
      </c>
      <c r="E436" s="32">
        <f>F436</f>
        <v>0.1334</v>
      </c>
      <c r="F436" s="32">
        <f>ROUND(0.1334,4)</f>
        <v>0.1334</v>
      </c>
      <c r="G436" s="26"/>
      <c r="H436" s="42"/>
    </row>
    <row r="437" spans="1:8" ht="12.75" customHeight="1">
      <c r="A437" s="27">
        <v>43724</v>
      </c>
      <c r="B437" s="28"/>
      <c r="C437" s="32">
        <f>ROUND(0.1353,4)</f>
        <v>0.1353</v>
      </c>
      <c r="D437" s="32">
        <f>F437</f>
        <v>0.134</v>
      </c>
      <c r="E437" s="32">
        <f>F437</f>
        <v>0.134</v>
      </c>
      <c r="F437" s="32">
        <f>ROUND(0.134,4)</f>
        <v>0.134</v>
      </c>
      <c r="G437" s="26"/>
      <c r="H437" s="42"/>
    </row>
    <row r="438" spans="1:8" ht="12.75" customHeight="1">
      <c r="A438" s="27">
        <v>43812</v>
      </c>
      <c r="B438" s="28"/>
      <c r="C438" s="32">
        <f>ROUND(0.1353,4)</f>
        <v>0.1353</v>
      </c>
      <c r="D438" s="32">
        <f>F438</f>
        <v>0.1348</v>
      </c>
      <c r="E438" s="32">
        <f>F438</f>
        <v>0.1348</v>
      </c>
      <c r="F438" s="32">
        <f>ROUND(0.1348,4)</f>
        <v>0.1348</v>
      </c>
      <c r="G438" s="26"/>
      <c r="H438" s="42"/>
    </row>
    <row r="439" spans="1:8" ht="12.75" customHeight="1">
      <c r="A439" s="27">
        <v>43906</v>
      </c>
      <c r="B439" s="28"/>
      <c r="C439" s="32">
        <f>ROUND(0.1353,4)</f>
        <v>0.1353</v>
      </c>
      <c r="D439" s="32">
        <f>F439</f>
        <v>0.1342</v>
      </c>
      <c r="E439" s="32">
        <f>F439</f>
        <v>0.1342</v>
      </c>
      <c r="F439" s="32">
        <f>ROUND(0.1342,4)</f>
        <v>0.1342</v>
      </c>
      <c r="G439" s="26"/>
      <c r="H439" s="42"/>
    </row>
    <row r="440" spans="1:8" ht="12.75" customHeight="1">
      <c r="A440" s="27">
        <v>43994</v>
      </c>
      <c r="B440" s="28"/>
      <c r="C440" s="32">
        <f>ROUND(0.1353,4)</f>
        <v>0.1353</v>
      </c>
      <c r="D440" s="32">
        <f>F440</f>
        <v>0.1286</v>
      </c>
      <c r="E440" s="32">
        <f>F440</f>
        <v>0.1286</v>
      </c>
      <c r="F440" s="32">
        <f>ROUND(0.1286,4)</f>
        <v>0.1286</v>
      </c>
      <c r="G440" s="26"/>
      <c r="H440" s="42"/>
    </row>
    <row r="441" spans="1:8" ht="12.75" customHeight="1">
      <c r="A441" s="27" t="s">
        <v>79</v>
      </c>
      <c r="B441" s="28"/>
      <c r="C441" s="29"/>
      <c r="D441" s="29"/>
      <c r="E441" s="29"/>
      <c r="F441" s="29"/>
      <c r="G441" s="26"/>
      <c r="H441" s="42"/>
    </row>
    <row r="442" spans="1:8" ht="12.75" customHeight="1">
      <c r="A442" s="27">
        <v>43542</v>
      </c>
      <c r="B442" s="28"/>
      <c r="C442" s="32">
        <f>ROUND(1.5985,4)</f>
        <v>1.5985</v>
      </c>
      <c r="D442" s="32">
        <f>F442</f>
        <v>1.612</v>
      </c>
      <c r="E442" s="32">
        <f>F442</f>
        <v>1.612</v>
      </c>
      <c r="F442" s="32">
        <f>ROUND(1.612,4)</f>
        <v>1.612</v>
      </c>
      <c r="G442" s="26"/>
      <c r="H442" s="42"/>
    </row>
    <row r="443" spans="1:8" ht="12.75" customHeight="1">
      <c r="A443" s="27">
        <v>43630</v>
      </c>
      <c r="B443" s="28"/>
      <c r="C443" s="32">
        <f>ROUND(1.5985,4)</f>
        <v>1.5985</v>
      </c>
      <c r="D443" s="32">
        <f>F443</f>
        <v>1.6349</v>
      </c>
      <c r="E443" s="32">
        <f>F443</f>
        <v>1.6349</v>
      </c>
      <c r="F443" s="32">
        <f>ROUND(1.6349,4)</f>
        <v>1.6349</v>
      </c>
      <c r="G443" s="26"/>
      <c r="H443" s="42"/>
    </row>
    <row r="444" spans="1:8" ht="12.75" customHeight="1">
      <c r="A444" s="27">
        <v>43724</v>
      </c>
      <c r="B444" s="28"/>
      <c r="C444" s="32">
        <f>ROUND(1.5985,4)</f>
        <v>1.5985</v>
      </c>
      <c r="D444" s="32">
        <f>F444</f>
        <v>1.6777</v>
      </c>
      <c r="E444" s="32">
        <f>F444</f>
        <v>1.6777</v>
      </c>
      <c r="F444" s="32">
        <f>ROUND(1.6777,4)</f>
        <v>1.6777</v>
      </c>
      <c r="G444" s="26"/>
      <c r="H444" s="42"/>
    </row>
    <row r="445" spans="1:8" ht="12.75" customHeight="1">
      <c r="A445" s="27">
        <v>43812</v>
      </c>
      <c r="B445" s="28"/>
      <c r="C445" s="32">
        <f>ROUND(1.5985,4)</f>
        <v>1.5985</v>
      </c>
      <c r="D445" s="32">
        <f>F445</f>
        <v>1.7019</v>
      </c>
      <c r="E445" s="32">
        <f>F445</f>
        <v>1.7019</v>
      </c>
      <c r="F445" s="32">
        <f>ROUND(1.7019,4)</f>
        <v>1.7019</v>
      </c>
      <c r="G445" s="26"/>
      <c r="H445" s="42"/>
    </row>
    <row r="446" spans="1:8" ht="12.75" customHeight="1">
      <c r="A446" s="27">
        <v>43906</v>
      </c>
      <c r="B446" s="28"/>
      <c r="C446" s="32">
        <f>ROUND(1.5985,4)</f>
        <v>1.5985</v>
      </c>
      <c r="D446" s="32">
        <f>F446</f>
        <v>1.7274</v>
      </c>
      <c r="E446" s="32">
        <f>F446</f>
        <v>1.7274</v>
      </c>
      <c r="F446" s="32">
        <f>ROUND(1.7274,4)</f>
        <v>1.7274</v>
      </c>
      <c r="G446" s="26"/>
      <c r="H446" s="42"/>
    </row>
    <row r="447" spans="1:8" ht="12.75" customHeight="1">
      <c r="A447" s="27">
        <v>43994</v>
      </c>
      <c r="B447" s="28"/>
      <c r="C447" s="32">
        <f>ROUND(1.5985,4)</f>
        <v>1.5985</v>
      </c>
      <c r="D447" s="32">
        <f>F447</f>
        <v>1.753</v>
      </c>
      <c r="E447" s="32">
        <f>F447</f>
        <v>1.753</v>
      </c>
      <c r="F447" s="32">
        <f>ROUND(1.753,4)</f>
        <v>1.753</v>
      </c>
      <c r="G447" s="26"/>
      <c r="H447" s="42"/>
    </row>
    <row r="448" spans="1:8" ht="12.75" customHeight="1">
      <c r="A448" s="27">
        <v>44088</v>
      </c>
      <c r="B448" s="28"/>
      <c r="C448" s="32">
        <f>ROUND(1.5985,4)</f>
        <v>1.5985</v>
      </c>
      <c r="D448" s="32">
        <f>F448</f>
        <v>1.7829</v>
      </c>
      <c r="E448" s="32">
        <f>F448</f>
        <v>1.7829</v>
      </c>
      <c r="F448" s="32">
        <f>ROUND(1.7829,4)</f>
        <v>1.7829</v>
      </c>
      <c r="G448" s="26"/>
      <c r="H448" s="42"/>
    </row>
    <row r="449" spans="1:8" ht="12.75" customHeight="1">
      <c r="A449" s="27">
        <v>44179</v>
      </c>
      <c r="B449" s="28"/>
      <c r="C449" s="32">
        <f>ROUND(1.5985,4)</f>
        <v>1.5985</v>
      </c>
      <c r="D449" s="32">
        <f>F449</f>
        <v>1.8121</v>
      </c>
      <c r="E449" s="32">
        <f>F449</f>
        <v>1.8121</v>
      </c>
      <c r="F449" s="32">
        <f>ROUND(1.8121,4)</f>
        <v>1.8121</v>
      </c>
      <c r="G449" s="26"/>
      <c r="H449" s="42"/>
    </row>
    <row r="450" spans="1:8" ht="12.75" customHeight="1">
      <c r="A450" s="27" t="s">
        <v>80</v>
      </c>
      <c r="B450" s="28"/>
      <c r="C450" s="29"/>
      <c r="D450" s="29"/>
      <c r="E450" s="29"/>
      <c r="F450" s="29"/>
      <c r="G450" s="26"/>
      <c r="H450" s="42"/>
    </row>
    <row r="451" spans="1:8" ht="12.75" customHeight="1">
      <c r="A451" s="27">
        <v>43542</v>
      </c>
      <c r="B451" s="28"/>
      <c r="C451" s="32">
        <f>ROUND(9.3045,4)</f>
        <v>9.3045</v>
      </c>
      <c r="D451" s="32">
        <f>F451</f>
        <v>9.37</v>
      </c>
      <c r="E451" s="32">
        <f>F451</f>
        <v>9.37</v>
      </c>
      <c r="F451" s="32">
        <f>ROUND(9.37,4)</f>
        <v>9.37</v>
      </c>
      <c r="G451" s="26"/>
      <c r="H451" s="42"/>
    </row>
    <row r="452" spans="1:8" ht="12.75" customHeight="1">
      <c r="A452" s="27">
        <v>43630</v>
      </c>
      <c r="B452" s="28"/>
      <c r="C452" s="32">
        <f>ROUND(9.3045,4)</f>
        <v>9.3045</v>
      </c>
      <c r="D452" s="32">
        <f>F452</f>
        <v>9.4838</v>
      </c>
      <c r="E452" s="32">
        <f>F452</f>
        <v>9.4838</v>
      </c>
      <c r="F452" s="32">
        <f>ROUND(9.4838,4)</f>
        <v>9.4838</v>
      </c>
      <c r="G452" s="26"/>
      <c r="H452" s="42"/>
    </row>
    <row r="453" spans="1:8" ht="12.75" customHeight="1">
      <c r="A453" s="27">
        <v>43724</v>
      </c>
      <c r="B453" s="28"/>
      <c r="C453" s="32">
        <f>ROUND(9.3045,4)</f>
        <v>9.3045</v>
      </c>
      <c r="D453" s="32">
        <f>F453</f>
        <v>9.6091</v>
      </c>
      <c r="E453" s="32">
        <f>F453</f>
        <v>9.6091</v>
      </c>
      <c r="F453" s="32">
        <f>ROUND(9.6091,4)</f>
        <v>9.6091</v>
      </c>
      <c r="G453" s="26"/>
      <c r="H453" s="42"/>
    </row>
    <row r="454" spans="1:8" ht="12.75" customHeight="1">
      <c r="A454" s="27">
        <v>43812</v>
      </c>
      <c r="B454" s="28"/>
      <c r="C454" s="32">
        <f>ROUND(9.3045,4)</f>
        <v>9.3045</v>
      </c>
      <c r="D454" s="32">
        <f>F454</f>
        <v>9.7281</v>
      </c>
      <c r="E454" s="32">
        <f>F454</f>
        <v>9.7281</v>
      </c>
      <c r="F454" s="32">
        <f>ROUND(9.7281,4)</f>
        <v>9.7281</v>
      </c>
      <c r="G454" s="26"/>
      <c r="H454" s="42"/>
    </row>
    <row r="455" spans="1:8" ht="12.75" customHeight="1">
      <c r="A455" s="27">
        <v>43906</v>
      </c>
      <c r="B455" s="28"/>
      <c r="C455" s="32">
        <f>ROUND(9.3045,4)</f>
        <v>9.3045</v>
      </c>
      <c r="D455" s="32">
        <f>F455</f>
        <v>9.8572</v>
      </c>
      <c r="E455" s="32">
        <f>F455</f>
        <v>9.8572</v>
      </c>
      <c r="F455" s="32">
        <f>ROUND(9.8572,4)</f>
        <v>9.8572</v>
      </c>
      <c r="G455" s="26"/>
      <c r="H455" s="42"/>
    </row>
    <row r="456" spans="1:8" ht="12.75" customHeight="1">
      <c r="A456" s="27">
        <v>43994</v>
      </c>
      <c r="B456" s="28"/>
      <c r="C456" s="32">
        <f>ROUND(9.3045,4)</f>
        <v>9.3045</v>
      </c>
      <c r="D456" s="32">
        <f>F456</f>
        <v>10.4153</v>
      </c>
      <c r="E456" s="32">
        <f>F456</f>
        <v>10.4153</v>
      </c>
      <c r="F456" s="32">
        <f>ROUND(10.4153,4)</f>
        <v>10.4153</v>
      </c>
      <c r="G456" s="26"/>
      <c r="H456" s="42"/>
    </row>
    <row r="457" spans="1:8" ht="12.75" customHeight="1">
      <c r="A457" s="27">
        <v>44088</v>
      </c>
      <c r="B457" s="28"/>
      <c r="C457" s="32">
        <f>ROUND(9.3045,4)</f>
        <v>9.3045</v>
      </c>
      <c r="D457" s="32">
        <f>F457</f>
        <v>10.5747</v>
      </c>
      <c r="E457" s="32">
        <f>F457</f>
        <v>10.5747</v>
      </c>
      <c r="F457" s="32">
        <f>ROUND(10.5747,4)</f>
        <v>10.5747</v>
      </c>
      <c r="G457" s="26"/>
      <c r="H457" s="42"/>
    </row>
    <row r="458" spans="1:8" ht="12.75" customHeight="1">
      <c r="A458" s="27">
        <v>44179</v>
      </c>
      <c r="B458" s="28"/>
      <c r="C458" s="32">
        <f>ROUND(9.3045,4)</f>
        <v>9.3045</v>
      </c>
      <c r="D458" s="32">
        <f>F458</f>
        <v>10.7438</v>
      </c>
      <c r="E458" s="32">
        <f>F458</f>
        <v>10.7438</v>
      </c>
      <c r="F458" s="32">
        <f>ROUND(10.7438,4)</f>
        <v>10.7438</v>
      </c>
      <c r="G458" s="26"/>
      <c r="H458" s="42"/>
    </row>
    <row r="459" spans="1:8" ht="12.75" customHeight="1">
      <c r="A459" s="27" t="s">
        <v>81</v>
      </c>
      <c r="B459" s="28"/>
      <c r="C459" s="29"/>
      <c r="D459" s="29"/>
      <c r="E459" s="29"/>
      <c r="F459" s="29"/>
      <c r="G459" s="26"/>
      <c r="H459" s="42"/>
    </row>
    <row r="460" spans="1:8" ht="12.75" customHeight="1">
      <c r="A460" s="27">
        <v>43542</v>
      </c>
      <c r="B460" s="28"/>
      <c r="C460" s="32">
        <f>ROUND(10.06,4)</f>
        <v>10.06</v>
      </c>
      <c r="D460" s="32">
        <f>F460</f>
        <v>10.133</v>
      </c>
      <c r="E460" s="32">
        <f>F460</f>
        <v>10.133</v>
      </c>
      <c r="F460" s="32">
        <f>ROUND(10.133,4)</f>
        <v>10.133</v>
      </c>
      <c r="G460" s="26"/>
      <c r="H460" s="42"/>
    </row>
    <row r="461" spans="1:8" ht="12.75" customHeight="1">
      <c r="A461" s="27">
        <v>43630</v>
      </c>
      <c r="B461" s="28"/>
      <c r="C461" s="32">
        <f>ROUND(10.06,4)</f>
        <v>10.06</v>
      </c>
      <c r="D461" s="32">
        <f>F461</f>
        <v>10.2629</v>
      </c>
      <c r="E461" s="32">
        <f>F461</f>
        <v>10.2629</v>
      </c>
      <c r="F461" s="32">
        <f>ROUND(10.2629,4)</f>
        <v>10.2629</v>
      </c>
      <c r="G461" s="26"/>
      <c r="H461" s="42"/>
    </row>
    <row r="462" spans="1:8" ht="12.75" customHeight="1">
      <c r="A462" s="27">
        <v>43724</v>
      </c>
      <c r="B462" s="28"/>
      <c r="C462" s="32">
        <f>ROUND(10.06,4)</f>
        <v>10.06</v>
      </c>
      <c r="D462" s="32">
        <f>F462</f>
        <v>10.5302</v>
      </c>
      <c r="E462" s="32">
        <f>F462</f>
        <v>10.5302</v>
      </c>
      <c r="F462" s="32">
        <f>ROUND(10.5302,4)</f>
        <v>10.5302</v>
      </c>
      <c r="G462" s="26"/>
      <c r="H462" s="42"/>
    </row>
    <row r="463" spans="1:8" ht="12.75" customHeight="1">
      <c r="A463" s="27">
        <v>43812</v>
      </c>
      <c r="B463" s="28"/>
      <c r="C463" s="32">
        <f>ROUND(10.06,4)</f>
        <v>10.06</v>
      </c>
      <c r="D463" s="32">
        <f>F463</f>
        <v>10.672</v>
      </c>
      <c r="E463" s="32">
        <f>F463</f>
        <v>10.672</v>
      </c>
      <c r="F463" s="32">
        <f>ROUND(10.672,4)</f>
        <v>10.672</v>
      </c>
      <c r="G463" s="26"/>
      <c r="H463" s="42"/>
    </row>
    <row r="464" spans="1:8" ht="12.75" customHeight="1">
      <c r="A464" s="27">
        <v>43906</v>
      </c>
      <c r="B464" s="28"/>
      <c r="C464" s="32">
        <f>ROUND(10.06,4)</f>
        <v>10.06</v>
      </c>
      <c r="D464" s="32">
        <f>F464</f>
        <v>11.2259</v>
      </c>
      <c r="E464" s="32">
        <f>F464</f>
        <v>11.2259</v>
      </c>
      <c r="F464" s="32">
        <f>ROUND(11.2259,4)</f>
        <v>11.2259</v>
      </c>
      <c r="G464" s="26"/>
      <c r="H464" s="42"/>
    </row>
    <row r="465" spans="1:8" ht="12.75" customHeight="1">
      <c r="A465" s="27">
        <v>43994</v>
      </c>
      <c r="B465" s="28"/>
      <c r="C465" s="32">
        <f>ROUND(10.06,4)</f>
        <v>10.06</v>
      </c>
      <c r="D465" s="32">
        <f>F465</f>
        <v>11.4069</v>
      </c>
      <c r="E465" s="32">
        <f>F465</f>
        <v>11.4069</v>
      </c>
      <c r="F465" s="32">
        <f>ROUND(11.4069,4)</f>
        <v>11.4069</v>
      </c>
      <c r="G465" s="26"/>
      <c r="H465" s="42"/>
    </row>
    <row r="466" spans="1:8" ht="12.75" customHeight="1">
      <c r="A466" s="27">
        <v>44088</v>
      </c>
      <c r="B466" s="28"/>
      <c r="C466" s="32">
        <f>ROUND(10.06,4)</f>
        <v>10.06</v>
      </c>
      <c r="D466" s="32">
        <f>F466</f>
        <v>11.5813</v>
      </c>
      <c r="E466" s="32">
        <f>F466</f>
        <v>11.5813</v>
      </c>
      <c r="F466" s="32">
        <f>ROUND(11.5813,4)</f>
        <v>11.5813</v>
      </c>
      <c r="G466" s="26"/>
      <c r="H466" s="42"/>
    </row>
    <row r="467" spans="1:8" ht="12.75" customHeight="1">
      <c r="A467" s="27">
        <v>44179</v>
      </c>
      <c r="B467" s="28"/>
      <c r="C467" s="32">
        <f>ROUND(10.06,4)</f>
        <v>10.06</v>
      </c>
      <c r="D467" s="32">
        <f>F467</f>
        <v>11.7636</v>
      </c>
      <c r="E467" s="32">
        <f>F467</f>
        <v>11.7636</v>
      </c>
      <c r="F467" s="32">
        <f>ROUND(11.7636,4)</f>
        <v>11.7636</v>
      </c>
      <c r="G467" s="26"/>
      <c r="H467" s="42"/>
    </row>
    <row r="468" spans="1:8" ht="12.75" customHeight="1">
      <c r="A468" s="27" t="s">
        <v>82</v>
      </c>
      <c r="B468" s="28"/>
      <c r="C468" s="29"/>
      <c r="D468" s="29"/>
      <c r="E468" s="29"/>
      <c r="F468" s="29"/>
      <c r="G468" s="26"/>
      <c r="H468" s="42"/>
    </row>
    <row r="469" spans="1:8" ht="12.75" customHeight="1">
      <c r="A469" s="27">
        <v>43542</v>
      </c>
      <c r="B469" s="28"/>
      <c r="C469" s="32">
        <f>ROUND(2.5806,4)</f>
        <v>2.5806</v>
      </c>
      <c r="D469" s="32">
        <f>F469</f>
        <v>2.5228</v>
      </c>
      <c r="E469" s="32">
        <f>F469</f>
        <v>2.5228</v>
      </c>
      <c r="F469" s="32">
        <f>ROUND(2.5228,4)</f>
        <v>2.5228</v>
      </c>
      <c r="G469" s="26"/>
      <c r="H469" s="42"/>
    </row>
    <row r="470" spans="1:8" ht="12.75" customHeight="1">
      <c r="A470" s="27">
        <v>43630</v>
      </c>
      <c r="B470" s="28"/>
      <c r="C470" s="32">
        <f>ROUND(2.5806,4)</f>
        <v>2.5806</v>
      </c>
      <c r="D470" s="32">
        <f>F470</f>
        <v>2.4372</v>
      </c>
      <c r="E470" s="32">
        <f>F470</f>
        <v>2.4372</v>
      </c>
      <c r="F470" s="32">
        <f>ROUND(2.4372,4)</f>
        <v>2.4372</v>
      </c>
      <c r="G470" s="26"/>
      <c r="H470" s="42"/>
    </row>
    <row r="471" spans="1:8" ht="12.75" customHeight="1">
      <c r="A471" s="27">
        <v>43724</v>
      </c>
      <c r="B471" s="28"/>
      <c r="C471" s="32">
        <f>ROUND(2.5806,4)</f>
        <v>2.5806</v>
      </c>
      <c r="D471" s="32">
        <f>F471</f>
        <v>2.3515</v>
      </c>
      <c r="E471" s="32">
        <f>F471</f>
        <v>2.3515</v>
      </c>
      <c r="F471" s="32">
        <f>ROUND(2.3515,4)</f>
        <v>2.3515</v>
      </c>
      <c r="G471" s="26"/>
      <c r="H471" s="42"/>
    </row>
    <row r="472" spans="1:8" ht="12.75" customHeight="1">
      <c r="A472" s="27">
        <v>43812</v>
      </c>
      <c r="B472" s="28"/>
      <c r="C472" s="32">
        <f>ROUND(2.5806,4)</f>
        <v>2.5806</v>
      </c>
      <c r="D472" s="32">
        <f>F472</f>
        <v>2.2904</v>
      </c>
      <c r="E472" s="32">
        <f>F472</f>
        <v>2.2904</v>
      </c>
      <c r="F472" s="32">
        <f>ROUND(2.2904,4)</f>
        <v>2.2904</v>
      </c>
      <c r="G472" s="26"/>
      <c r="H472" s="42"/>
    </row>
    <row r="473" spans="1:8" ht="12.75" customHeight="1">
      <c r="A473" s="27">
        <v>43906</v>
      </c>
      <c r="B473" s="28"/>
      <c r="C473" s="32">
        <f>ROUND(2.5806,4)</f>
        <v>2.5806</v>
      </c>
      <c r="D473" s="32">
        <f>F473</f>
        <v>2.3149</v>
      </c>
      <c r="E473" s="32">
        <f>F473</f>
        <v>2.3149</v>
      </c>
      <c r="F473" s="32">
        <f>ROUND(2.3149,4)</f>
        <v>2.3149</v>
      </c>
      <c r="G473" s="26"/>
      <c r="H473" s="42"/>
    </row>
    <row r="474" spans="1:8" ht="12.75" customHeight="1">
      <c r="A474" s="27">
        <v>43994</v>
      </c>
      <c r="B474" s="28"/>
      <c r="C474" s="32">
        <f>ROUND(2.5806,4)</f>
        <v>2.5806</v>
      </c>
      <c r="D474" s="32">
        <f>F474</f>
        <v>2.269</v>
      </c>
      <c r="E474" s="32">
        <f>F474</f>
        <v>2.269</v>
      </c>
      <c r="F474" s="32">
        <f>ROUND(2.269,4)</f>
        <v>2.269</v>
      </c>
      <c r="G474" s="26"/>
      <c r="H474" s="42"/>
    </row>
    <row r="475" spans="1:8" ht="12.75" customHeight="1">
      <c r="A475" s="27">
        <v>44088</v>
      </c>
      <c r="B475" s="28"/>
      <c r="C475" s="32">
        <f>ROUND(2.5806,4)</f>
        <v>2.5806</v>
      </c>
      <c r="D475" s="32">
        <f>F475</f>
        <v>2.223</v>
      </c>
      <c r="E475" s="32">
        <f>F475</f>
        <v>2.223</v>
      </c>
      <c r="F475" s="32">
        <f>ROUND(2.223,4)</f>
        <v>2.223</v>
      </c>
      <c r="G475" s="26"/>
      <c r="H475" s="42"/>
    </row>
    <row r="476" spans="1:8" ht="12.75" customHeight="1">
      <c r="A476" s="27">
        <v>44179</v>
      </c>
      <c r="B476" s="28"/>
      <c r="C476" s="32">
        <f>ROUND(2.5806,4)</f>
        <v>2.5806</v>
      </c>
      <c r="D476" s="32">
        <f>F476</f>
        <v>2.1842</v>
      </c>
      <c r="E476" s="32">
        <f>F476</f>
        <v>2.1842</v>
      </c>
      <c r="F476" s="32">
        <f>ROUND(2.1842,4)</f>
        <v>2.1842</v>
      </c>
      <c r="G476" s="26"/>
      <c r="H476" s="42"/>
    </row>
    <row r="477" spans="1:8" ht="12.75" customHeight="1">
      <c r="A477" s="27" t="s">
        <v>83</v>
      </c>
      <c r="B477" s="28"/>
      <c r="C477" s="29"/>
      <c r="D477" s="29"/>
      <c r="E477" s="29"/>
      <c r="F477" s="29"/>
      <c r="G477" s="26"/>
      <c r="H477" s="42"/>
    </row>
    <row r="478" spans="1:8" ht="12.75" customHeight="1">
      <c r="A478" s="27">
        <v>43542</v>
      </c>
      <c r="B478" s="28"/>
      <c r="C478" s="32">
        <f>ROUND(13.6281,4)</f>
        <v>13.6281</v>
      </c>
      <c r="D478" s="32">
        <f>F478</f>
        <v>13.7108</v>
      </c>
      <c r="E478" s="32">
        <f>F478</f>
        <v>13.7108</v>
      </c>
      <c r="F478" s="32">
        <f>ROUND(13.7108,4)</f>
        <v>13.7108</v>
      </c>
      <c r="G478" s="26"/>
      <c r="H478" s="42"/>
    </row>
    <row r="479" spans="1:8" ht="12.75" customHeight="1">
      <c r="A479" s="27">
        <v>43630</v>
      </c>
      <c r="B479" s="28"/>
      <c r="C479" s="32">
        <f>ROUND(13.6281,4)</f>
        <v>13.6281</v>
      </c>
      <c r="D479" s="32">
        <f>F479</f>
        <v>13.8563</v>
      </c>
      <c r="E479" s="32">
        <f>F479</f>
        <v>13.8563</v>
      </c>
      <c r="F479" s="32">
        <f>ROUND(13.8563,4)</f>
        <v>13.8563</v>
      </c>
      <c r="G479" s="26"/>
      <c r="H479" s="42"/>
    </row>
    <row r="480" spans="1:8" ht="12.75" customHeight="1">
      <c r="A480" s="27">
        <v>43724</v>
      </c>
      <c r="B480" s="28"/>
      <c r="C480" s="32">
        <f>ROUND(13.6281,4)</f>
        <v>13.6281</v>
      </c>
      <c r="D480" s="32">
        <f>F480</f>
        <v>14.0164</v>
      </c>
      <c r="E480" s="32">
        <f>F480</f>
        <v>14.0164</v>
      </c>
      <c r="F480" s="32">
        <f>ROUND(14.0164,4)</f>
        <v>14.0164</v>
      </c>
      <c r="G480" s="26"/>
      <c r="H480" s="42"/>
    </row>
    <row r="481" spans="1:8" ht="12.75" customHeight="1">
      <c r="A481" s="27">
        <v>43812</v>
      </c>
      <c r="B481" s="28"/>
      <c r="C481" s="32">
        <f>ROUND(13.6281,4)</f>
        <v>13.6281</v>
      </c>
      <c r="D481" s="32">
        <f>F481</f>
        <v>14.1681</v>
      </c>
      <c r="E481" s="32">
        <f>F481</f>
        <v>14.1681</v>
      </c>
      <c r="F481" s="32">
        <f>ROUND(14.1681,4)</f>
        <v>14.1681</v>
      </c>
      <c r="G481" s="26"/>
      <c r="H481" s="42"/>
    </row>
    <row r="482" spans="1:8" ht="12.75" customHeight="1">
      <c r="A482" s="27">
        <v>43906</v>
      </c>
      <c r="B482" s="28"/>
      <c r="C482" s="32">
        <f>ROUND(13.6281,4)</f>
        <v>13.6281</v>
      </c>
      <c r="D482" s="32">
        <f>F482</f>
        <v>14.3341</v>
      </c>
      <c r="E482" s="32">
        <f>F482</f>
        <v>14.3341</v>
      </c>
      <c r="F482" s="32">
        <f>ROUND(14.3341,4)</f>
        <v>14.3341</v>
      </c>
      <c r="G482" s="26"/>
      <c r="H482" s="42"/>
    </row>
    <row r="483" spans="1:8" ht="12.75" customHeight="1">
      <c r="A483" s="27">
        <v>43994</v>
      </c>
      <c r="B483" s="28"/>
      <c r="C483" s="32">
        <f>ROUND(13.6281,4)</f>
        <v>13.6281</v>
      </c>
      <c r="D483" s="32">
        <f>F483</f>
        <v>14.7096</v>
      </c>
      <c r="E483" s="32">
        <f>F483</f>
        <v>14.7096</v>
      </c>
      <c r="F483" s="32">
        <f>ROUND(14.7096,4)</f>
        <v>14.7096</v>
      </c>
      <c r="G483" s="26"/>
      <c r="H483" s="42"/>
    </row>
    <row r="484" spans="1:8" ht="12.75" customHeight="1">
      <c r="A484" s="27">
        <v>44088</v>
      </c>
      <c r="B484" s="28"/>
      <c r="C484" s="32">
        <f>ROUND(13.6281,4)</f>
        <v>13.6281</v>
      </c>
      <c r="D484" s="32">
        <f>F484</f>
        <v>14.8908</v>
      </c>
      <c r="E484" s="32">
        <f>F484</f>
        <v>14.8908</v>
      </c>
      <c r="F484" s="32">
        <f>ROUND(14.8908,4)</f>
        <v>14.8908</v>
      </c>
      <c r="G484" s="26"/>
      <c r="H484" s="42"/>
    </row>
    <row r="485" spans="1:8" ht="12.75" customHeight="1">
      <c r="A485" s="27">
        <v>44179</v>
      </c>
      <c r="B485" s="28"/>
      <c r="C485" s="32">
        <f>ROUND(13.6281,4)</f>
        <v>13.6281</v>
      </c>
      <c r="D485" s="32">
        <f>F485</f>
        <v>15.0663</v>
      </c>
      <c r="E485" s="32">
        <f>F485</f>
        <v>15.0663</v>
      </c>
      <c r="F485" s="32">
        <f>ROUND(15.0663,4)</f>
        <v>15.0663</v>
      </c>
      <c r="G485" s="26"/>
      <c r="H485" s="42"/>
    </row>
    <row r="486" spans="1:8" ht="12.75" customHeight="1">
      <c r="A486" s="27" t="s">
        <v>84</v>
      </c>
      <c r="B486" s="28"/>
      <c r="C486" s="29"/>
      <c r="D486" s="29"/>
      <c r="E486" s="29"/>
      <c r="F486" s="29"/>
      <c r="G486" s="26"/>
      <c r="H486" s="42"/>
    </row>
    <row r="487" spans="1:8" ht="12.75" customHeight="1">
      <c r="A487" s="27">
        <v>43542</v>
      </c>
      <c r="B487" s="28"/>
      <c r="C487" s="32">
        <f>ROUND(13.6281,4)</f>
        <v>13.6281</v>
      </c>
      <c r="D487" s="32">
        <f>F487</f>
        <v>13.7108</v>
      </c>
      <c r="E487" s="32">
        <f>F487</f>
        <v>13.7108</v>
      </c>
      <c r="F487" s="32">
        <f>ROUND(13.7108,4)</f>
        <v>13.7108</v>
      </c>
      <c r="G487" s="26"/>
      <c r="H487" s="42"/>
    </row>
    <row r="488" spans="1:8" ht="12.75" customHeight="1">
      <c r="A488" s="27">
        <v>43630</v>
      </c>
      <c r="B488" s="28"/>
      <c r="C488" s="32">
        <f>ROUND(13.6281,4)</f>
        <v>13.6281</v>
      </c>
      <c r="D488" s="32">
        <f>F488</f>
        <v>13.8563</v>
      </c>
      <c r="E488" s="32">
        <f>F488</f>
        <v>13.8563</v>
      </c>
      <c r="F488" s="32">
        <f>ROUND(13.8563,4)</f>
        <v>13.8563</v>
      </c>
      <c r="G488" s="26"/>
      <c r="H488" s="42"/>
    </row>
    <row r="489" spans="1:8" ht="12.75" customHeight="1">
      <c r="A489" s="27">
        <v>43724</v>
      </c>
      <c r="B489" s="28"/>
      <c r="C489" s="32">
        <f>ROUND(13.6281,4)</f>
        <v>13.6281</v>
      </c>
      <c r="D489" s="32">
        <f>F489</f>
        <v>14.0164</v>
      </c>
      <c r="E489" s="32">
        <f>F489</f>
        <v>14.0164</v>
      </c>
      <c r="F489" s="32">
        <f>ROUND(14.0164,4)</f>
        <v>14.0164</v>
      </c>
      <c r="G489" s="26"/>
      <c r="H489" s="42"/>
    </row>
    <row r="490" spans="1:8" ht="12.75" customHeight="1">
      <c r="A490" s="27">
        <v>43812</v>
      </c>
      <c r="B490" s="28"/>
      <c r="C490" s="32">
        <f>ROUND(13.6281,4)</f>
        <v>13.6281</v>
      </c>
      <c r="D490" s="32">
        <f>F490</f>
        <v>14.1681</v>
      </c>
      <c r="E490" s="32">
        <f>F490</f>
        <v>14.1681</v>
      </c>
      <c r="F490" s="32">
        <f>ROUND(14.1681,4)</f>
        <v>14.1681</v>
      </c>
      <c r="G490" s="26"/>
      <c r="H490" s="42"/>
    </row>
    <row r="491" spans="1:8" ht="12.75" customHeight="1">
      <c r="A491" s="27">
        <v>43906</v>
      </c>
      <c r="B491" s="28"/>
      <c r="C491" s="32">
        <f>ROUND(13.6281,4)</f>
        <v>13.6281</v>
      </c>
      <c r="D491" s="32">
        <f>F491</f>
        <v>14.3341</v>
      </c>
      <c r="E491" s="32">
        <f>F491</f>
        <v>14.3341</v>
      </c>
      <c r="F491" s="32">
        <f>ROUND(14.3341,4)</f>
        <v>14.3341</v>
      </c>
      <c r="G491" s="26"/>
      <c r="H491" s="42"/>
    </row>
    <row r="492" spans="1:8" ht="12.75" customHeight="1">
      <c r="A492" s="27">
        <v>43994</v>
      </c>
      <c r="B492" s="28"/>
      <c r="C492" s="32">
        <f>ROUND(13.6281,4)</f>
        <v>13.6281</v>
      </c>
      <c r="D492" s="32">
        <f>F492</f>
        <v>14.4924</v>
      </c>
      <c r="E492" s="32">
        <f>F492</f>
        <v>14.4924</v>
      </c>
      <c r="F492" s="32">
        <f>ROUND(14.4924,4)</f>
        <v>14.4924</v>
      </c>
      <c r="G492" s="26"/>
      <c r="H492" s="42"/>
    </row>
    <row r="493" spans="1:8" ht="12.75" customHeight="1">
      <c r="A493" s="27">
        <v>44088</v>
      </c>
      <c r="B493" s="28"/>
      <c r="C493" s="32">
        <f>ROUND(13.6281,4)</f>
        <v>13.6281</v>
      </c>
      <c r="D493" s="32">
        <f>F493</f>
        <v>14.6727</v>
      </c>
      <c r="E493" s="32">
        <f>F493</f>
        <v>14.6727</v>
      </c>
      <c r="F493" s="32">
        <f>ROUND(14.6727,4)</f>
        <v>14.6727</v>
      </c>
      <c r="G493" s="26"/>
      <c r="H493" s="42"/>
    </row>
    <row r="494" spans="1:8" ht="12.75" customHeight="1">
      <c r="A494" s="27">
        <v>44179</v>
      </c>
      <c r="B494" s="28"/>
      <c r="C494" s="32">
        <f>ROUND(13.6281,4)</f>
        <v>13.6281</v>
      </c>
      <c r="D494" s="32">
        <f>F494</f>
        <v>15.0663</v>
      </c>
      <c r="E494" s="32">
        <f>F494</f>
        <v>15.0663</v>
      </c>
      <c r="F494" s="32">
        <f>ROUND(15.0663,4)</f>
        <v>15.0663</v>
      </c>
      <c r="G494" s="26"/>
      <c r="H494" s="42"/>
    </row>
    <row r="495" spans="1:8" ht="12.75" customHeight="1">
      <c r="A495" s="27">
        <v>44270</v>
      </c>
      <c r="B495" s="28"/>
      <c r="C495" s="32">
        <f>ROUND(13.6281,4)</f>
        <v>13.6281</v>
      </c>
      <c r="D495" s="32">
        <f>F495</f>
        <v>15.2643</v>
      </c>
      <c r="E495" s="32">
        <f>F495</f>
        <v>15.2643</v>
      </c>
      <c r="F495" s="32">
        <f>ROUND(15.2643,4)</f>
        <v>15.2643</v>
      </c>
      <c r="G495" s="26"/>
      <c r="H495" s="42"/>
    </row>
    <row r="496" spans="1:8" ht="12.75" customHeight="1">
      <c r="A496" s="27">
        <v>44358</v>
      </c>
      <c r="B496" s="28"/>
      <c r="C496" s="32">
        <f>ROUND(13.6281,4)</f>
        <v>13.6281</v>
      </c>
      <c r="D496" s="32">
        <f>F496</f>
        <v>15.4744</v>
      </c>
      <c r="E496" s="32">
        <f>F496</f>
        <v>15.4744</v>
      </c>
      <c r="F496" s="32">
        <f>ROUND(15.4744,4)</f>
        <v>15.4744</v>
      </c>
      <c r="G496" s="26"/>
      <c r="H496" s="42"/>
    </row>
    <row r="497" spans="1:8" ht="12.75" customHeight="1">
      <c r="A497" s="27">
        <v>44452</v>
      </c>
      <c r="B497" s="28"/>
      <c r="C497" s="32">
        <f>ROUND(13.6281,4)</f>
        <v>13.6281</v>
      </c>
      <c r="D497" s="32">
        <f>F497</f>
        <v>15.6989</v>
      </c>
      <c r="E497" s="32">
        <f>F497</f>
        <v>15.6989</v>
      </c>
      <c r="F497" s="32">
        <f>ROUND(15.6989,4)</f>
        <v>15.6989</v>
      </c>
      <c r="G497" s="26"/>
      <c r="H497" s="42"/>
    </row>
    <row r="498" spans="1:8" ht="12.75" customHeight="1">
      <c r="A498" s="27">
        <v>44550</v>
      </c>
      <c r="B498" s="28"/>
      <c r="C498" s="32">
        <f>ROUND(13.6281,4)</f>
        <v>13.6281</v>
      </c>
      <c r="D498" s="32">
        <f>F498</f>
        <v>15.933</v>
      </c>
      <c r="E498" s="32">
        <f>F498</f>
        <v>15.933</v>
      </c>
      <c r="F498" s="32">
        <f>ROUND(15.933,4)</f>
        <v>15.933</v>
      </c>
      <c r="G498" s="26"/>
      <c r="H498" s="42"/>
    </row>
    <row r="499" spans="1:8" ht="12.75" customHeight="1">
      <c r="A499" s="27">
        <v>44634</v>
      </c>
      <c r="B499" s="28"/>
      <c r="C499" s="32">
        <f>ROUND(13.6281,4)</f>
        <v>13.6281</v>
      </c>
      <c r="D499" s="32">
        <f>F499</f>
        <v>16.1336</v>
      </c>
      <c r="E499" s="32">
        <f>F499</f>
        <v>16.1336</v>
      </c>
      <c r="F499" s="32">
        <f>ROUND(16.1336,4)</f>
        <v>16.1336</v>
      </c>
      <c r="G499" s="26"/>
      <c r="H499" s="42"/>
    </row>
    <row r="500" spans="1:8" ht="12.75" customHeight="1">
      <c r="A500" s="27" t="s">
        <v>85</v>
      </c>
      <c r="B500" s="28"/>
      <c r="C500" s="29"/>
      <c r="D500" s="29"/>
      <c r="E500" s="29"/>
      <c r="F500" s="29"/>
      <c r="G500" s="26"/>
      <c r="H500" s="42"/>
    </row>
    <row r="501" spans="1:8" ht="12.75" customHeight="1">
      <c r="A501" s="27">
        <v>43503</v>
      </c>
      <c r="B501" s="28"/>
      <c r="C501" s="31">
        <f>ROUND(701.412,3)</f>
        <v>701.412</v>
      </c>
      <c r="D501" s="31">
        <f>F501</f>
        <v>703.207</v>
      </c>
      <c r="E501" s="31">
        <f>F501</f>
        <v>703.207</v>
      </c>
      <c r="F501" s="31">
        <f>ROUND(703.207,3)</f>
        <v>703.207</v>
      </c>
      <c r="G501" s="26"/>
      <c r="H501" s="42"/>
    </row>
    <row r="502" spans="1:8" ht="12.75" customHeight="1">
      <c r="A502" s="27">
        <v>43587</v>
      </c>
      <c r="B502" s="28"/>
      <c r="C502" s="31">
        <f>ROUND(701.412,3)</f>
        <v>701.412</v>
      </c>
      <c r="D502" s="31">
        <f>F502</f>
        <v>715.259</v>
      </c>
      <c r="E502" s="31">
        <f>F502</f>
        <v>715.259</v>
      </c>
      <c r="F502" s="31">
        <f>ROUND(715.259,3)</f>
        <v>715.259</v>
      </c>
      <c r="G502" s="26"/>
      <c r="H502" s="42"/>
    </row>
    <row r="503" spans="1:8" ht="12.75" customHeight="1">
      <c r="A503" s="27">
        <v>43678</v>
      </c>
      <c r="B503" s="28"/>
      <c r="C503" s="31">
        <f>ROUND(701.412,3)</f>
        <v>701.412</v>
      </c>
      <c r="D503" s="31">
        <f>F503</f>
        <v>729.059</v>
      </c>
      <c r="E503" s="31">
        <f>F503</f>
        <v>729.059</v>
      </c>
      <c r="F503" s="31">
        <f>ROUND(729.059,3)</f>
        <v>729.059</v>
      </c>
      <c r="G503" s="26"/>
      <c r="H503" s="42"/>
    </row>
    <row r="504" spans="1:8" ht="12.75" customHeight="1">
      <c r="A504" s="27">
        <v>43776</v>
      </c>
      <c r="B504" s="28"/>
      <c r="C504" s="31">
        <f>ROUND(701.412,3)</f>
        <v>701.412</v>
      </c>
      <c r="D504" s="31">
        <f>F504</f>
        <v>744.38</v>
      </c>
      <c r="E504" s="31">
        <f>F504</f>
        <v>744.38</v>
      </c>
      <c r="F504" s="31">
        <f>ROUND(744.38,3)</f>
        <v>744.38</v>
      </c>
      <c r="G504" s="26"/>
      <c r="H504" s="42"/>
    </row>
    <row r="505" spans="1:8" ht="12.75" customHeight="1">
      <c r="A505" s="27" t="s">
        <v>86</v>
      </c>
      <c r="B505" s="28"/>
      <c r="C505" s="29"/>
      <c r="D505" s="29"/>
      <c r="E505" s="29"/>
      <c r="F505" s="29"/>
      <c r="G505" s="26"/>
      <c r="H505" s="42"/>
    </row>
    <row r="506" spans="1:8" ht="12.75" customHeight="1">
      <c r="A506" s="27">
        <v>43503</v>
      </c>
      <c r="B506" s="28"/>
      <c r="C506" s="31">
        <f>ROUND(615.513,3)</f>
        <v>615.513</v>
      </c>
      <c r="D506" s="31">
        <f>F506</f>
        <v>617.088</v>
      </c>
      <c r="E506" s="31">
        <f>F506</f>
        <v>617.088</v>
      </c>
      <c r="F506" s="31">
        <f>ROUND(617.088,3)</f>
        <v>617.088</v>
      </c>
      <c r="G506" s="26"/>
      <c r="H506" s="42"/>
    </row>
    <row r="507" spans="1:8" ht="12.75" customHeight="1">
      <c r="A507" s="27">
        <v>43587</v>
      </c>
      <c r="B507" s="28"/>
      <c r="C507" s="31">
        <f>ROUND(615.513,3)</f>
        <v>615.513</v>
      </c>
      <c r="D507" s="31">
        <f>F507</f>
        <v>627.664</v>
      </c>
      <c r="E507" s="31">
        <f>F507</f>
        <v>627.664</v>
      </c>
      <c r="F507" s="31">
        <f>ROUND(627.664,3)</f>
        <v>627.664</v>
      </c>
      <c r="G507" s="26"/>
      <c r="H507" s="42"/>
    </row>
    <row r="508" spans="1:8" ht="12.75" customHeight="1">
      <c r="A508" s="27">
        <v>43678</v>
      </c>
      <c r="B508" s="28"/>
      <c r="C508" s="31">
        <f>ROUND(615.513,3)</f>
        <v>615.513</v>
      </c>
      <c r="D508" s="31">
        <f>F508</f>
        <v>639.775</v>
      </c>
      <c r="E508" s="31">
        <f>F508</f>
        <v>639.775</v>
      </c>
      <c r="F508" s="31">
        <f>ROUND(639.775,3)</f>
        <v>639.775</v>
      </c>
      <c r="G508" s="26"/>
      <c r="H508" s="42"/>
    </row>
    <row r="509" spans="1:8" ht="12.75" customHeight="1">
      <c r="A509" s="27">
        <v>43776</v>
      </c>
      <c r="B509" s="28"/>
      <c r="C509" s="31">
        <f>ROUND(615.513,3)</f>
        <v>615.513</v>
      </c>
      <c r="D509" s="31">
        <f>F509</f>
        <v>653.219</v>
      </c>
      <c r="E509" s="31">
        <f>F509</f>
        <v>653.219</v>
      </c>
      <c r="F509" s="31">
        <f>ROUND(653.219,3)</f>
        <v>653.219</v>
      </c>
      <c r="G509" s="26"/>
      <c r="H509" s="42"/>
    </row>
    <row r="510" spans="1:8" ht="12.75" customHeight="1">
      <c r="A510" s="27" t="s">
        <v>87</v>
      </c>
      <c r="B510" s="28"/>
      <c r="C510" s="29"/>
      <c r="D510" s="29"/>
      <c r="E510" s="29"/>
      <c r="F510" s="29"/>
      <c r="G510" s="26"/>
      <c r="H510" s="42"/>
    </row>
    <row r="511" spans="1:8" ht="12.75" customHeight="1">
      <c r="A511" s="27">
        <v>43503</v>
      </c>
      <c r="B511" s="28"/>
      <c r="C511" s="31">
        <f>ROUND(711.229,3)</f>
        <v>711.229</v>
      </c>
      <c r="D511" s="31">
        <f>F511</f>
        <v>713.049</v>
      </c>
      <c r="E511" s="31">
        <f>F511</f>
        <v>713.049</v>
      </c>
      <c r="F511" s="31">
        <f>ROUND(713.049,3)</f>
        <v>713.049</v>
      </c>
      <c r="G511" s="26"/>
      <c r="H511" s="42"/>
    </row>
    <row r="512" spans="1:8" ht="12.75" customHeight="1">
      <c r="A512" s="27">
        <v>43587</v>
      </c>
      <c r="B512" s="28"/>
      <c r="C512" s="31">
        <f>ROUND(711.229,3)</f>
        <v>711.229</v>
      </c>
      <c r="D512" s="31">
        <f>F512</f>
        <v>725.269</v>
      </c>
      <c r="E512" s="31">
        <f>F512</f>
        <v>725.269</v>
      </c>
      <c r="F512" s="31">
        <f>ROUND(725.269,3)</f>
        <v>725.269</v>
      </c>
      <c r="G512" s="26"/>
      <c r="H512" s="42"/>
    </row>
    <row r="513" spans="1:8" ht="12.75" customHeight="1">
      <c r="A513" s="27">
        <v>43678</v>
      </c>
      <c r="B513" s="28"/>
      <c r="C513" s="31">
        <f>ROUND(711.229,3)</f>
        <v>711.229</v>
      </c>
      <c r="D513" s="31">
        <f>F513</f>
        <v>739.263</v>
      </c>
      <c r="E513" s="31">
        <f>F513</f>
        <v>739.263</v>
      </c>
      <c r="F513" s="31">
        <f>ROUND(739.263,3)</f>
        <v>739.263</v>
      </c>
      <c r="G513" s="26"/>
      <c r="H513" s="42"/>
    </row>
    <row r="514" spans="1:8" ht="12.75" customHeight="1">
      <c r="A514" s="27">
        <v>43776</v>
      </c>
      <c r="B514" s="28"/>
      <c r="C514" s="31">
        <f>ROUND(711.229,3)</f>
        <v>711.229</v>
      </c>
      <c r="D514" s="31">
        <f>F514</f>
        <v>754.798</v>
      </c>
      <c r="E514" s="31">
        <f>F514</f>
        <v>754.798</v>
      </c>
      <c r="F514" s="31">
        <f>ROUND(754.798,3)</f>
        <v>754.798</v>
      </c>
      <c r="G514" s="26"/>
      <c r="H514" s="42"/>
    </row>
    <row r="515" spans="1:8" ht="12.75" customHeight="1">
      <c r="A515" s="27" t="s">
        <v>88</v>
      </c>
      <c r="B515" s="28"/>
      <c r="C515" s="29"/>
      <c r="D515" s="29"/>
      <c r="E515" s="29"/>
      <c r="F515" s="29"/>
      <c r="G515" s="26"/>
      <c r="H515" s="42"/>
    </row>
    <row r="516" spans="1:8" ht="12.75" customHeight="1">
      <c r="A516" s="27">
        <v>43503</v>
      </c>
      <c r="B516" s="28"/>
      <c r="C516" s="31">
        <f>ROUND(644.232,3)</f>
        <v>644.232</v>
      </c>
      <c r="D516" s="31">
        <f>F516</f>
        <v>645.881</v>
      </c>
      <c r="E516" s="31">
        <f>F516</f>
        <v>645.881</v>
      </c>
      <c r="F516" s="31">
        <f>ROUND(645.881,3)</f>
        <v>645.881</v>
      </c>
      <c r="G516" s="26"/>
      <c r="H516" s="42"/>
    </row>
    <row r="517" spans="1:8" ht="12.75" customHeight="1">
      <c r="A517" s="27">
        <v>43587</v>
      </c>
      <c r="B517" s="28"/>
      <c r="C517" s="31">
        <f>ROUND(644.232,3)</f>
        <v>644.232</v>
      </c>
      <c r="D517" s="31">
        <f>F517</f>
        <v>656.95</v>
      </c>
      <c r="E517" s="31">
        <f>F517</f>
        <v>656.95</v>
      </c>
      <c r="F517" s="31">
        <f>ROUND(656.95,3)</f>
        <v>656.95</v>
      </c>
      <c r="G517" s="26"/>
      <c r="H517" s="42"/>
    </row>
    <row r="518" spans="1:8" ht="12.75" customHeight="1">
      <c r="A518" s="27">
        <v>43678</v>
      </c>
      <c r="B518" s="28"/>
      <c r="C518" s="31">
        <f>ROUND(644.232,3)</f>
        <v>644.232</v>
      </c>
      <c r="D518" s="31">
        <f>F518</f>
        <v>669.626</v>
      </c>
      <c r="E518" s="31">
        <f>F518</f>
        <v>669.626</v>
      </c>
      <c r="F518" s="31">
        <f>ROUND(669.626,3)</f>
        <v>669.626</v>
      </c>
      <c r="G518" s="26"/>
      <c r="H518" s="42"/>
    </row>
    <row r="519" spans="1:8" ht="12.75" customHeight="1">
      <c r="A519" s="27">
        <v>43776</v>
      </c>
      <c r="B519" s="28"/>
      <c r="C519" s="31">
        <f>ROUND(644.232,3)</f>
        <v>644.232</v>
      </c>
      <c r="D519" s="31">
        <f>F519</f>
        <v>683.697</v>
      </c>
      <c r="E519" s="31">
        <f>F519</f>
        <v>683.697</v>
      </c>
      <c r="F519" s="31">
        <f>ROUND(683.697,3)</f>
        <v>683.697</v>
      </c>
      <c r="G519" s="26"/>
      <c r="H519" s="42"/>
    </row>
    <row r="520" spans="1:8" ht="12.75" customHeight="1">
      <c r="A520" s="27" t="s">
        <v>89</v>
      </c>
      <c r="B520" s="28"/>
      <c r="C520" s="29"/>
      <c r="D520" s="29"/>
      <c r="E520" s="29"/>
      <c r="F520" s="29"/>
      <c r="G520" s="26"/>
      <c r="H520" s="42"/>
    </row>
    <row r="521" spans="1:8" ht="12.75" customHeight="1">
      <c r="A521" s="27">
        <v>43503</v>
      </c>
      <c r="B521" s="28"/>
      <c r="C521" s="31">
        <f>ROUND(256.142255876564,3)</f>
        <v>256.142</v>
      </c>
      <c r="D521" s="31">
        <f>F521</f>
        <v>256.807</v>
      </c>
      <c r="E521" s="31">
        <f>F521</f>
        <v>256.807</v>
      </c>
      <c r="F521" s="31">
        <f>ROUND(256.807,3)</f>
        <v>256.807</v>
      </c>
      <c r="G521" s="26"/>
      <c r="H521" s="42"/>
    </row>
    <row r="522" spans="1:8" ht="12.75" customHeight="1">
      <c r="A522" s="27">
        <v>43587</v>
      </c>
      <c r="B522" s="28"/>
      <c r="C522" s="31">
        <f>ROUND(256.142255876564,3)</f>
        <v>256.142</v>
      </c>
      <c r="D522" s="31">
        <f>F522</f>
        <v>261.267</v>
      </c>
      <c r="E522" s="31">
        <f>F522</f>
        <v>261.267</v>
      </c>
      <c r="F522" s="31">
        <f>ROUND(261.267,3)</f>
        <v>261.267</v>
      </c>
      <c r="G522" s="26"/>
      <c r="H522" s="42"/>
    </row>
    <row r="523" spans="1:8" ht="12.75" customHeight="1">
      <c r="A523" s="27">
        <v>43678</v>
      </c>
      <c r="B523" s="28"/>
      <c r="C523" s="31">
        <f>ROUND(256.142255876564,3)</f>
        <v>256.142</v>
      </c>
      <c r="D523" s="31">
        <f>F523</f>
        <v>266.37</v>
      </c>
      <c r="E523" s="31">
        <f>F523</f>
        <v>266.37</v>
      </c>
      <c r="F523" s="31">
        <f>ROUND(266.37,3)</f>
        <v>266.37</v>
      </c>
      <c r="G523" s="26"/>
      <c r="H523" s="42"/>
    </row>
    <row r="524" spans="1:8" ht="12.75" customHeight="1">
      <c r="A524" s="27">
        <v>43776</v>
      </c>
      <c r="B524" s="28"/>
      <c r="C524" s="31">
        <f>ROUND(256.142255876564,3)</f>
        <v>256.142</v>
      </c>
      <c r="D524" s="31">
        <f>F524</f>
        <v>272.034</v>
      </c>
      <c r="E524" s="31">
        <f>F524</f>
        <v>272.034</v>
      </c>
      <c r="F524" s="31">
        <f>ROUND(272.034,3)</f>
        <v>272.034</v>
      </c>
      <c r="G524" s="26"/>
      <c r="H524" s="42"/>
    </row>
    <row r="525" spans="1:8" ht="12.75" customHeight="1">
      <c r="A525" s="27" t="s">
        <v>90</v>
      </c>
      <c r="B525" s="28"/>
      <c r="C525" s="29"/>
      <c r="D525" s="29"/>
      <c r="E525" s="29"/>
      <c r="F525" s="29"/>
      <c r="G525" s="26"/>
      <c r="H525" s="42"/>
    </row>
    <row r="526" spans="1:8" ht="12.75" customHeight="1">
      <c r="A526" s="27">
        <v>43542</v>
      </c>
      <c r="B526" s="28"/>
      <c r="C526" s="26">
        <f>ROUND(23989.582679912,2)</f>
        <v>23989.58</v>
      </c>
      <c r="D526" s="26">
        <f>F526</f>
        <v>24174.56</v>
      </c>
      <c r="E526" s="26">
        <f>F526</f>
        <v>24174.56</v>
      </c>
      <c r="F526" s="26">
        <f>ROUND(24174.56,2)</f>
        <v>24174.56</v>
      </c>
      <c r="G526" s="26"/>
      <c r="H526" s="42"/>
    </row>
    <row r="527" spans="1:8" ht="12.75" customHeight="1">
      <c r="A527" s="27">
        <v>43630</v>
      </c>
      <c r="B527" s="28"/>
      <c r="C527" s="26">
        <f>ROUND(23989.582679912,2)</f>
        <v>23989.58</v>
      </c>
      <c r="D527" s="26">
        <f>F527</f>
        <v>24544.28</v>
      </c>
      <c r="E527" s="26">
        <f>F527</f>
        <v>24544.28</v>
      </c>
      <c r="F527" s="26">
        <f>ROUND(24544.28,2)</f>
        <v>24544.28</v>
      </c>
      <c r="G527" s="26"/>
      <c r="H527" s="42"/>
    </row>
    <row r="528" spans="1:8" ht="12.75" customHeight="1">
      <c r="A528" s="27">
        <v>43724</v>
      </c>
      <c r="B528" s="28"/>
      <c r="C528" s="26">
        <f>ROUND(23989.582679912,2)</f>
        <v>23989.58</v>
      </c>
      <c r="D528" s="26">
        <f>F528</f>
        <v>24952.2</v>
      </c>
      <c r="E528" s="26">
        <f>F528</f>
        <v>24952.2</v>
      </c>
      <c r="F528" s="26">
        <f>ROUND(24952.2,2)</f>
        <v>24952.2</v>
      </c>
      <c r="G528" s="26"/>
      <c r="H528" s="42"/>
    </row>
    <row r="529" spans="1:8" ht="12.75" customHeight="1">
      <c r="A529" s="27" t="s">
        <v>91</v>
      </c>
      <c r="B529" s="28"/>
      <c r="C529" s="29"/>
      <c r="D529" s="29"/>
      <c r="E529" s="29"/>
      <c r="F529" s="29"/>
      <c r="G529" s="26"/>
      <c r="H529" s="42"/>
    </row>
    <row r="530" spans="1:8" ht="12.75" customHeight="1">
      <c r="A530" s="27">
        <v>43544</v>
      </c>
      <c r="B530" s="28"/>
      <c r="C530" s="31">
        <f>ROUND(7.15,3)</f>
        <v>7.15</v>
      </c>
      <c r="D530" s="31">
        <f>ROUND(7.06,3)</f>
        <v>7.06</v>
      </c>
      <c r="E530" s="31">
        <f>ROUND(6.96,3)</f>
        <v>6.96</v>
      </c>
      <c r="F530" s="31">
        <f>ROUND(7.01,3)</f>
        <v>7.01</v>
      </c>
      <c r="G530" s="26"/>
      <c r="H530" s="42"/>
    </row>
    <row r="531" spans="1:8" ht="12.75" customHeight="1">
      <c r="A531" s="27">
        <v>43635</v>
      </c>
      <c r="B531" s="28"/>
      <c r="C531" s="31">
        <f>ROUND(7.15,3)</f>
        <v>7.15</v>
      </c>
      <c r="D531" s="31">
        <f>ROUND(7.08,3)</f>
        <v>7.08</v>
      </c>
      <c r="E531" s="31">
        <f>ROUND(6.98,3)</f>
        <v>6.98</v>
      </c>
      <c r="F531" s="31">
        <f>ROUND(7.03,3)</f>
        <v>7.03</v>
      </c>
      <c r="G531" s="26"/>
      <c r="H531" s="42"/>
    </row>
    <row r="532" spans="1:8" ht="12.75" customHeight="1">
      <c r="A532" s="27">
        <v>43726</v>
      </c>
      <c r="B532" s="28"/>
      <c r="C532" s="31">
        <f>ROUND(7.15,3)</f>
        <v>7.15</v>
      </c>
      <c r="D532" s="31">
        <f>ROUND(7.12,3)</f>
        <v>7.12</v>
      </c>
      <c r="E532" s="31">
        <f>ROUND(7.02,3)</f>
        <v>7.02</v>
      </c>
      <c r="F532" s="31">
        <f>ROUND(7.07,3)</f>
        <v>7.07</v>
      </c>
      <c r="G532" s="26"/>
      <c r="H532" s="42"/>
    </row>
    <row r="533" spans="1:8" ht="12.75" customHeight="1">
      <c r="A533" s="27">
        <v>43817</v>
      </c>
      <c r="B533" s="28"/>
      <c r="C533" s="31">
        <f>ROUND(7.15,3)</f>
        <v>7.15</v>
      </c>
      <c r="D533" s="31">
        <f>ROUND(7.18,3)</f>
        <v>7.18</v>
      </c>
      <c r="E533" s="31">
        <f>ROUND(7.08,3)</f>
        <v>7.08</v>
      </c>
      <c r="F533" s="31">
        <f>ROUND(7.13,3)</f>
        <v>7.13</v>
      </c>
      <c r="G533" s="26"/>
      <c r="H533" s="42"/>
    </row>
    <row r="534" spans="1:8" ht="12.75" customHeight="1">
      <c r="A534" s="27" t="s">
        <v>92</v>
      </c>
      <c r="B534" s="28"/>
      <c r="C534" s="29"/>
      <c r="D534" s="29"/>
      <c r="E534" s="29"/>
      <c r="F534" s="29"/>
      <c r="G534" s="26"/>
      <c r="H534" s="42"/>
    </row>
    <row r="535" spans="1:8" ht="12.75" customHeight="1">
      <c r="A535" s="27">
        <v>43503</v>
      </c>
      <c r="B535" s="28"/>
      <c r="C535" s="31">
        <f>ROUND(637.824,3)</f>
        <v>637.824</v>
      </c>
      <c r="D535" s="31">
        <f>F535</f>
        <v>639.456</v>
      </c>
      <c r="E535" s="31">
        <f>F535</f>
        <v>639.456</v>
      </c>
      <c r="F535" s="31">
        <f>ROUND(639.456,3)</f>
        <v>639.456</v>
      </c>
      <c r="G535" s="26"/>
      <c r="H535" s="42"/>
    </row>
    <row r="536" spans="1:8" ht="12.75" customHeight="1">
      <c r="A536" s="27">
        <v>43587</v>
      </c>
      <c r="B536" s="28"/>
      <c r="C536" s="31">
        <f>ROUND(637.824,3)</f>
        <v>637.824</v>
      </c>
      <c r="D536" s="31">
        <f>F536</f>
        <v>650.415</v>
      </c>
      <c r="E536" s="31">
        <f>F536</f>
        <v>650.415</v>
      </c>
      <c r="F536" s="31">
        <f>ROUND(650.415,3)</f>
        <v>650.415</v>
      </c>
      <c r="G536" s="26"/>
      <c r="H536" s="42"/>
    </row>
    <row r="537" spans="1:8" ht="12.75" customHeight="1">
      <c r="A537" s="27">
        <v>43678</v>
      </c>
      <c r="B537" s="28"/>
      <c r="C537" s="31">
        <f>ROUND(637.824,3)</f>
        <v>637.824</v>
      </c>
      <c r="D537" s="31">
        <f>F537</f>
        <v>662.965</v>
      </c>
      <c r="E537" s="31">
        <f>F537</f>
        <v>662.965</v>
      </c>
      <c r="F537" s="31">
        <f>ROUND(662.965,3)</f>
        <v>662.965</v>
      </c>
      <c r="G537" s="26"/>
      <c r="H537" s="42"/>
    </row>
    <row r="538" spans="1:8" ht="12.75" customHeight="1">
      <c r="A538" s="27">
        <v>43776</v>
      </c>
      <c r="B538" s="28"/>
      <c r="C538" s="31">
        <f>ROUND(637.824,3)</f>
        <v>637.824</v>
      </c>
      <c r="D538" s="31">
        <f>F538</f>
        <v>676.896</v>
      </c>
      <c r="E538" s="31">
        <f>F538</f>
        <v>676.896</v>
      </c>
      <c r="F538" s="31">
        <f>ROUND(676.896,3)</f>
        <v>676.896</v>
      </c>
      <c r="G538" s="26"/>
      <c r="H538" s="42"/>
    </row>
    <row r="539" spans="1:8" ht="12.75" customHeight="1">
      <c r="A539" s="27" t="s">
        <v>13</v>
      </c>
      <c r="B539" s="28"/>
      <c r="C539" s="29"/>
      <c r="D539" s="29"/>
      <c r="E539" s="29"/>
      <c r="F539" s="29"/>
      <c r="G539" s="26"/>
      <c r="H539" s="42"/>
    </row>
    <row r="540" spans="1:8" ht="12.75" customHeight="1">
      <c r="A540" s="27">
        <v>43546</v>
      </c>
      <c r="B540" s="28"/>
      <c r="C540" s="26">
        <f>ROUND(99.8678732209497,2)</f>
        <v>99.87</v>
      </c>
      <c r="D540" s="26">
        <f>F540</f>
        <v>99.58</v>
      </c>
      <c r="E540" s="26">
        <f>F540</f>
        <v>99.58</v>
      </c>
      <c r="F540" s="26">
        <f>ROUND(99.5763315658631,2)</f>
        <v>99.58</v>
      </c>
      <c r="G540" s="26"/>
      <c r="H540" s="42"/>
    </row>
    <row r="541" spans="1:8" ht="12.75" customHeight="1">
      <c r="A541" s="27" t="s">
        <v>14</v>
      </c>
      <c r="B541" s="28"/>
      <c r="C541" s="29"/>
      <c r="D541" s="29"/>
      <c r="E541" s="29"/>
      <c r="F541" s="29"/>
      <c r="G541" s="26"/>
      <c r="H541" s="42"/>
    </row>
    <row r="542" spans="1:8" ht="12.75" customHeight="1">
      <c r="A542" s="27">
        <v>43913</v>
      </c>
      <c r="B542" s="28"/>
      <c r="C542" s="26">
        <f>ROUND(99.3436870741416,2)</f>
        <v>99.34</v>
      </c>
      <c r="D542" s="26">
        <f>F542</f>
        <v>98.82</v>
      </c>
      <c r="E542" s="26">
        <f>F542</f>
        <v>98.82</v>
      </c>
      <c r="F542" s="26">
        <f>ROUND(98.820024323948,2)</f>
        <v>98.82</v>
      </c>
      <c r="G542" s="26"/>
      <c r="H542" s="42"/>
    </row>
    <row r="543" spans="1:8" ht="12.75" customHeight="1">
      <c r="A543" s="27" t="s">
        <v>15</v>
      </c>
      <c r="B543" s="28"/>
      <c r="C543" s="29"/>
      <c r="D543" s="29"/>
      <c r="E543" s="29"/>
      <c r="F543" s="29"/>
      <c r="G543" s="26"/>
      <c r="H543" s="42"/>
    </row>
    <row r="544" spans="1:8" ht="12.75" customHeight="1">
      <c r="A544" s="27">
        <v>45007</v>
      </c>
      <c r="B544" s="28"/>
      <c r="C544" s="26">
        <f>ROUND(97.6474120475534,2)</f>
        <v>97.65</v>
      </c>
      <c r="D544" s="26">
        <f>F544</f>
        <v>96.18</v>
      </c>
      <c r="E544" s="26">
        <f>F544</f>
        <v>96.18</v>
      </c>
      <c r="F544" s="26">
        <f>ROUND(96.1843697598057,2)</f>
        <v>96.18</v>
      </c>
      <c r="G544" s="26"/>
      <c r="H544" s="42"/>
    </row>
    <row r="545" spans="1:8" ht="12.75" customHeight="1">
      <c r="A545" s="27" t="s">
        <v>16</v>
      </c>
      <c r="B545" s="28"/>
      <c r="C545" s="29"/>
      <c r="D545" s="29"/>
      <c r="E545" s="29"/>
      <c r="F545" s="29"/>
      <c r="G545" s="26"/>
      <c r="H545" s="42"/>
    </row>
    <row r="546" spans="1:8" ht="12.75" customHeight="1">
      <c r="A546" s="27">
        <v>46834</v>
      </c>
      <c r="B546" s="28"/>
      <c r="C546" s="26">
        <f>ROUND(96.3140981469328,2)</f>
        <v>96.31</v>
      </c>
      <c r="D546" s="26">
        <f>F546</f>
        <v>95.58</v>
      </c>
      <c r="E546" s="26">
        <f>F546</f>
        <v>95.58</v>
      </c>
      <c r="F546" s="26">
        <f>ROUND(95.5771060982058,2)</f>
        <v>95.58</v>
      </c>
      <c r="G546" s="26"/>
      <c r="H546" s="42"/>
    </row>
    <row r="547" spans="1:8" ht="12.75" customHeight="1">
      <c r="A547" s="27" t="s">
        <v>93</v>
      </c>
      <c r="B547" s="28"/>
      <c r="C547" s="29"/>
      <c r="D547" s="29"/>
      <c r="E547" s="29"/>
      <c r="F547" s="29"/>
      <c r="G547" s="26"/>
      <c r="H547" s="42"/>
    </row>
    <row r="548" spans="1:8" ht="12.75" customHeight="1">
      <c r="A548" s="27">
        <v>43636</v>
      </c>
      <c r="B548" s="28"/>
      <c r="C548" s="26">
        <f>ROUND(99.8678732209497,2)</f>
        <v>99.87</v>
      </c>
      <c r="D548" s="26">
        <f>F548</f>
        <v>102.01</v>
      </c>
      <c r="E548" s="26">
        <f>F548</f>
        <v>102.01</v>
      </c>
      <c r="F548" s="26">
        <f>ROUND(102.007123542049,2)</f>
        <v>102.01</v>
      </c>
      <c r="G548" s="26"/>
      <c r="H548" s="42"/>
    </row>
    <row r="549" spans="1:8" ht="12.75" customHeight="1">
      <c r="A549" s="27" t="s">
        <v>94</v>
      </c>
      <c r="B549" s="28"/>
      <c r="C549" s="29"/>
      <c r="D549" s="29"/>
      <c r="E549" s="29"/>
      <c r="F549" s="29"/>
      <c r="G549" s="26"/>
      <c r="H549" s="42"/>
    </row>
    <row r="550" spans="1:8" ht="12.75" customHeight="1">
      <c r="A550" s="27">
        <v>43727</v>
      </c>
      <c r="B550" s="28"/>
      <c r="C550" s="26">
        <f>ROUND(99.8678732209497,2)</f>
        <v>99.87</v>
      </c>
      <c r="D550" s="26">
        <f>F550</f>
        <v>99.87</v>
      </c>
      <c r="E550" s="26">
        <f>F550</f>
        <v>99.87</v>
      </c>
      <c r="F550" s="26">
        <f>ROUND(99.8678732209497,2)</f>
        <v>99.87</v>
      </c>
      <c r="G550" s="26"/>
      <c r="H550" s="42"/>
    </row>
    <row r="551" spans="1:8" ht="12.75" customHeight="1">
      <c r="A551" s="27" t="s">
        <v>95</v>
      </c>
      <c r="B551" s="28"/>
      <c r="C551" s="29"/>
      <c r="D551" s="29"/>
      <c r="E551" s="29"/>
      <c r="F551" s="29"/>
      <c r="G551" s="26"/>
      <c r="H551" s="42"/>
    </row>
    <row r="552" spans="1:8" ht="12.75" customHeight="1">
      <c r="A552" s="27">
        <v>43539</v>
      </c>
      <c r="B552" s="28"/>
      <c r="C552" s="30">
        <f>ROUND(99.3436870741416,5)</f>
        <v>99.34369</v>
      </c>
      <c r="D552" s="30">
        <f>F552</f>
        <v>99.32931</v>
      </c>
      <c r="E552" s="30">
        <f>F552</f>
        <v>99.32931</v>
      </c>
      <c r="F552" s="30">
        <f>ROUND(99.3293050274993,5)</f>
        <v>99.32931</v>
      </c>
      <c r="G552" s="26"/>
      <c r="H552" s="42"/>
    </row>
    <row r="553" spans="1:8" ht="12.75" customHeight="1">
      <c r="A553" s="27" t="s">
        <v>96</v>
      </c>
      <c r="B553" s="28"/>
      <c r="C553" s="29"/>
      <c r="D553" s="29"/>
      <c r="E553" s="29"/>
      <c r="F553" s="29"/>
      <c r="G553" s="26"/>
      <c r="H553" s="42"/>
    </row>
    <row r="554" spans="1:8" ht="12.75" customHeight="1">
      <c r="A554" s="27">
        <v>43637</v>
      </c>
      <c r="B554" s="28"/>
      <c r="C554" s="30">
        <f>ROUND(99.3436870741416,5)</f>
        <v>99.34369</v>
      </c>
      <c r="D554" s="30">
        <f>F554</f>
        <v>99.73491</v>
      </c>
      <c r="E554" s="30">
        <f>F554</f>
        <v>99.73491</v>
      </c>
      <c r="F554" s="30">
        <f>ROUND(99.7349144778144,5)</f>
        <v>99.73491</v>
      </c>
      <c r="G554" s="26"/>
      <c r="H554" s="42"/>
    </row>
    <row r="555" spans="1:8" ht="12.75" customHeight="1">
      <c r="A555" s="27" t="s">
        <v>97</v>
      </c>
      <c r="B555" s="28"/>
      <c r="C555" s="29"/>
      <c r="D555" s="29"/>
      <c r="E555" s="29"/>
      <c r="F555" s="29"/>
      <c r="G555" s="26"/>
      <c r="H555" s="42"/>
    </row>
    <row r="556" spans="1:8" ht="12.75" customHeight="1">
      <c r="A556" s="27">
        <v>43728</v>
      </c>
      <c r="B556" s="28"/>
      <c r="C556" s="30">
        <f>ROUND(99.3436870741416,5)</f>
        <v>99.34369</v>
      </c>
      <c r="D556" s="30">
        <f>F556</f>
        <v>101.86624</v>
      </c>
      <c r="E556" s="30">
        <f>F556</f>
        <v>101.86624</v>
      </c>
      <c r="F556" s="30">
        <f>ROUND(101.866235733753,5)</f>
        <v>101.86624</v>
      </c>
      <c r="G556" s="26"/>
      <c r="H556" s="42"/>
    </row>
    <row r="557" spans="1:8" ht="12.75" customHeight="1">
      <c r="A557" s="27" t="s">
        <v>98</v>
      </c>
      <c r="B557" s="28"/>
      <c r="C557" s="29"/>
      <c r="D557" s="29"/>
      <c r="E557" s="29"/>
      <c r="F557" s="29"/>
      <c r="G557" s="26"/>
      <c r="H557" s="42"/>
    </row>
    <row r="558" spans="1:8" ht="12.75" customHeight="1">
      <c r="A558" s="27">
        <v>44004</v>
      </c>
      <c r="B558" s="28"/>
      <c r="C558" s="26">
        <f>ROUND(99.3436870741416,2)</f>
        <v>99.34</v>
      </c>
      <c r="D558" s="26">
        <f>F558</f>
        <v>102.38</v>
      </c>
      <c r="E558" s="26">
        <f>F558</f>
        <v>102.38</v>
      </c>
      <c r="F558" s="26">
        <f>ROUND(102.3771077635,2)</f>
        <v>102.38</v>
      </c>
      <c r="G558" s="26"/>
      <c r="H558" s="42"/>
    </row>
    <row r="559" spans="1:8" ht="12.75" customHeight="1">
      <c r="A559" s="27" t="s">
        <v>99</v>
      </c>
      <c r="B559" s="28"/>
      <c r="C559" s="29"/>
      <c r="D559" s="29"/>
      <c r="E559" s="29"/>
      <c r="F559" s="29"/>
      <c r="G559" s="26"/>
      <c r="H559" s="42"/>
    </row>
    <row r="560" spans="1:8" ht="12.75" customHeight="1">
      <c r="A560" s="27">
        <v>44095</v>
      </c>
      <c r="B560" s="28"/>
      <c r="C560" s="26">
        <f>ROUND(99.3436870741416,2)</f>
        <v>99.34</v>
      </c>
      <c r="D560" s="26">
        <f>F560</f>
        <v>99.34</v>
      </c>
      <c r="E560" s="26">
        <f>F560</f>
        <v>99.34</v>
      </c>
      <c r="F560" s="26">
        <f>ROUND(99.3436870741416,2)</f>
        <v>99.34</v>
      </c>
      <c r="G560" s="26"/>
      <c r="H560" s="42"/>
    </row>
    <row r="561" spans="1:8" ht="12.75" customHeight="1">
      <c r="A561" s="27" t="s">
        <v>100</v>
      </c>
      <c r="B561" s="28"/>
      <c r="C561" s="29"/>
      <c r="D561" s="29"/>
      <c r="E561" s="29"/>
      <c r="F561" s="29"/>
      <c r="G561" s="26"/>
      <c r="H561" s="42"/>
    </row>
    <row r="562" spans="1:8" ht="12.75" customHeight="1">
      <c r="A562" s="27">
        <v>44182</v>
      </c>
      <c r="B562" s="28"/>
      <c r="C562" s="30">
        <f>ROUND(97.6474120475534,5)</f>
        <v>97.64741</v>
      </c>
      <c r="D562" s="30">
        <f>F562</f>
        <v>96.13606</v>
      </c>
      <c r="E562" s="30">
        <f>F562</f>
        <v>96.13606</v>
      </c>
      <c r="F562" s="30">
        <f>ROUND(96.136062731648,5)</f>
        <v>96.13606</v>
      </c>
      <c r="G562" s="26"/>
      <c r="H562" s="42"/>
    </row>
    <row r="563" spans="1:8" ht="12.75" customHeight="1">
      <c r="A563" s="27" t="s">
        <v>101</v>
      </c>
      <c r="B563" s="28"/>
      <c r="C563" s="29"/>
      <c r="D563" s="29"/>
      <c r="E563" s="29"/>
      <c r="F563" s="29"/>
      <c r="G563" s="26"/>
      <c r="H563" s="42"/>
    </row>
    <row r="564" spans="1:8" ht="12.75" customHeight="1">
      <c r="A564" s="27">
        <v>44271</v>
      </c>
      <c r="B564" s="28"/>
      <c r="C564" s="30">
        <f>ROUND(97.6474120475534,5)</f>
        <v>97.64741</v>
      </c>
      <c r="D564" s="30">
        <f>F564</f>
        <v>95.30728</v>
      </c>
      <c r="E564" s="30">
        <f>F564</f>
        <v>95.30728</v>
      </c>
      <c r="F564" s="30">
        <f>ROUND(95.3072838467709,5)</f>
        <v>95.30728</v>
      </c>
      <c r="G564" s="26"/>
      <c r="H564" s="42"/>
    </row>
    <row r="565" spans="1:8" ht="12.75" customHeight="1">
      <c r="A565" s="27" t="s">
        <v>102</v>
      </c>
      <c r="B565" s="28"/>
      <c r="C565" s="29"/>
      <c r="D565" s="29"/>
      <c r="E565" s="29"/>
      <c r="F565" s="29"/>
      <c r="G565" s="26"/>
      <c r="H565" s="42"/>
    </row>
    <row r="566" spans="1:8" ht="12.75" customHeight="1">
      <c r="A566" s="27">
        <v>44362</v>
      </c>
      <c r="B566" s="28"/>
      <c r="C566" s="30">
        <f>ROUND(97.6474120475534,5)</f>
        <v>97.64741</v>
      </c>
      <c r="D566" s="30">
        <f>F566</f>
        <v>94.4163</v>
      </c>
      <c r="E566" s="30">
        <f>F566</f>
        <v>94.4163</v>
      </c>
      <c r="F566" s="30">
        <f>ROUND(94.4162986735638,5)</f>
        <v>94.4163</v>
      </c>
      <c r="G566" s="26"/>
      <c r="H566" s="42"/>
    </row>
    <row r="567" spans="1:8" ht="12.75" customHeight="1">
      <c r="A567" s="27" t="s">
        <v>103</v>
      </c>
      <c r="B567" s="28"/>
      <c r="C567" s="29"/>
      <c r="D567" s="29"/>
      <c r="E567" s="29"/>
      <c r="F567" s="29"/>
      <c r="G567" s="26"/>
      <c r="H567" s="42"/>
    </row>
    <row r="568" spans="1:8" ht="12.75" customHeight="1">
      <c r="A568" s="27">
        <v>44460</v>
      </c>
      <c r="B568" s="28"/>
      <c r="C568" s="30">
        <f>ROUND(97.6474120475534,5)</f>
        <v>97.64741</v>
      </c>
      <c r="D568" s="30">
        <f>F568</f>
        <v>94.48474</v>
      </c>
      <c r="E568" s="30">
        <f>F568</f>
        <v>94.48474</v>
      </c>
      <c r="F568" s="30">
        <f>ROUND(94.4847435456175,5)</f>
        <v>94.48474</v>
      </c>
      <c r="G568" s="26"/>
      <c r="H568" s="42"/>
    </row>
    <row r="569" spans="1:8" ht="12.75" customHeight="1">
      <c r="A569" s="27" t="s">
        <v>104</v>
      </c>
      <c r="B569" s="28"/>
      <c r="C569" s="29"/>
      <c r="D569" s="29"/>
      <c r="E569" s="29"/>
      <c r="F569" s="29"/>
      <c r="G569" s="26"/>
      <c r="H569" s="42"/>
    </row>
    <row r="570" spans="1:8" ht="12.75" customHeight="1">
      <c r="A570" s="27">
        <v>44551</v>
      </c>
      <c r="B570" s="28"/>
      <c r="C570" s="30">
        <f>ROUND(97.6474120475534,5)</f>
        <v>97.64741</v>
      </c>
      <c r="D570" s="30">
        <f>F570</f>
        <v>96.59875</v>
      </c>
      <c r="E570" s="30">
        <f>F570</f>
        <v>96.59875</v>
      </c>
      <c r="F570" s="30">
        <f>ROUND(96.5987519412182,5)</f>
        <v>96.59875</v>
      </c>
      <c r="G570" s="26"/>
      <c r="H570" s="42"/>
    </row>
    <row r="571" spans="1:8" ht="12.75" customHeight="1">
      <c r="A571" s="27" t="s">
        <v>105</v>
      </c>
      <c r="B571" s="28"/>
      <c r="C571" s="29"/>
      <c r="D571" s="29"/>
      <c r="E571" s="29"/>
      <c r="F571" s="29"/>
      <c r="G571" s="26"/>
      <c r="H571" s="42"/>
    </row>
    <row r="572" spans="1:8" ht="12.75" customHeight="1">
      <c r="A572" s="27">
        <v>44635</v>
      </c>
      <c r="B572" s="28"/>
      <c r="C572" s="30">
        <f>ROUND(97.6474120475534,5)</f>
        <v>97.64741</v>
      </c>
      <c r="D572" s="30">
        <f>F572</f>
        <v>96.67447</v>
      </c>
      <c r="E572" s="30">
        <f>F572</f>
        <v>96.67447</v>
      </c>
      <c r="F572" s="30">
        <f>ROUND(96.6744652309679,5)</f>
        <v>96.67447</v>
      </c>
      <c r="G572" s="26"/>
      <c r="H572" s="42"/>
    </row>
    <row r="573" spans="1:8" ht="12.75" customHeight="1">
      <c r="A573" s="27" t="s">
        <v>106</v>
      </c>
      <c r="B573" s="28"/>
      <c r="C573" s="29"/>
      <c r="D573" s="29"/>
      <c r="E573" s="29"/>
      <c r="F573" s="29"/>
      <c r="G573" s="26"/>
      <c r="H573" s="42"/>
    </row>
    <row r="574" spans="1:8" ht="12.75" customHeight="1">
      <c r="A574" s="27">
        <v>44733</v>
      </c>
      <c r="B574" s="28"/>
      <c r="C574" s="30">
        <f>ROUND(97.6474120475534,5)</f>
        <v>97.64741</v>
      </c>
      <c r="D574" s="30">
        <f>F574</f>
        <v>97.79869</v>
      </c>
      <c r="E574" s="30">
        <f>F574</f>
        <v>97.79869</v>
      </c>
      <c r="F574" s="30">
        <f>ROUND(97.7986933110939,5)</f>
        <v>97.79869</v>
      </c>
      <c r="G574" s="26"/>
      <c r="H574" s="42"/>
    </row>
    <row r="575" spans="1:8" ht="12.75" customHeight="1">
      <c r="A575" s="27" t="s">
        <v>107</v>
      </c>
      <c r="B575" s="28"/>
      <c r="C575" s="29"/>
      <c r="D575" s="29"/>
      <c r="E575" s="29"/>
      <c r="F575" s="29"/>
      <c r="G575" s="26"/>
      <c r="H575" s="42"/>
    </row>
    <row r="576" spans="1:8" ht="12.75" customHeight="1">
      <c r="A576" s="27">
        <v>44824</v>
      </c>
      <c r="B576" s="28"/>
      <c r="C576" s="30">
        <f>ROUND(97.6474120475534,5)</f>
        <v>97.64741</v>
      </c>
      <c r="D576" s="30">
        <f>F576</f>
        <v>101.67535</v>
      </c>
      <c r="E576" s="30">
        <f>F576</f>
        <v>101.67535</v>
      </c>
      <c r="F576" s="30">
        <f>ROUND(101.675351548828,5)</f>
        <v>101.67535</v>
      </c>
      <c r="G576" s="26"/>
      <c r="H576" s="42"/>
    </row>
    <row r="577" spans="1:8" ht="12.75" customHeight="1">
      <c r="A577" s="27" t="s">
        <v>108</v>
      </c>
      <c r="B577" s="28"/>
      <c r="C577" s="29"/>
      <c r="D577" s="29"/>
      <c r="E577" s="29"/>
      <c r="F577" s="29"/>
      <c r="G577" s="26"/>
      <c r="H577" s="42"/>
    </row>
    <row r="578" spans="1:8" ht="12.75" customHeight="1">
      <c r="A578" s="27">
        <v>45097</v>
      </c>
      <c r="B578" s="28"/>
      <c r="C578" s="26">
        <f>ROUND(97.6474120475534,2)</f>
        <v>97.65</v>
      </c>
      <c r="D578" s="26">
        <f>F578</f>
        <v>102.2</v>
      </c>
      <c r="E578" s="26">
        <f>F578</f>
        <v>102.2</v>
      </c>
      <c r="F578" s="26">
        <f>ROUND(102.201529003692,2)</f>
        <v>102.2</v>
      </c>
      <c r="G578" s="26"/>
      <c r="H578" s="42"/>
    </row>
    <row r="579" spans="1:8" ht="12.75" customHeight="1">
      <c r="A579" s="27" t="s">
        <v>109</v>
      </c>
      <c r="B579" s="28"/>
      <c r="C579" s="29"/>
      <c r="D579" s="29"/>
      <c r="E579" s="29"/>
      <c r="F579" s="29"/>
      <c r="G579" s="26"/>
      <c r="H579" s="42"/>
    </row>
    <row r="580" spans="1:8" ht="12.75" customHeight="1">
      <c r="A580" s="27">
        <v>45188</v>
      </c>
      <c r="B580" s="28"/>
      <c r="C580" s="26">
        <f>ROUND(97.6474120475534,2)</f>
        <v>97.65</v>
      </c>
      <c r="D580" s="26">
        <f>F580</f>
        <v>97.65</v>
      </c>
      <c r="E580" s="26">
        <f>F580</f>
        <v>97.65</v>
      </c>
      <c r="F580" s="26">
        <f>ROUND(97.6474120475534,2)</f>
        <v>97.65</v>
      </c>
      <c r="G580" s="26"/>
      <c r="H580" s="42"/>
    </row>
    <row r="581" spans="1:8" ht="12.75" customHeight="1">
      <c r="A581" s="27" t="s">
        <v>110</v>
      </c>
      <c r="B581" s="28"/>
      <c r="C581" s="29"/>
      <c r="D581" s="29"/>
      <c r="E581" s="29"/>
      <c r="F581" s="29"/>
      <c r="G581" s="26"/>
      <c r="H581" s="42"/>
    </row>
    <row r="582" spans="1:8" ht="12.75" customHeight="1">
      <c r="A582" s="27">
        <v>46008</v>
      </c>
      <c r="B582" s="28"/>
      <c r="C582" s="30">
        <f>ROUND(96.3140981469328,5)</f>
        <v>96.3141</v>
      </c>
      <c r="D582" s="30">
        <f>F582</f>
        <v>94.03717</v>
      </c>
      <c r="E582" s="30">
        <f>F582</f>
        <v>94.03717</v>
      </c>
      <c r="F582" s="30">
        <f>ROUND(94.0371686143691,5)</f>
        <v>94.03717</v>
      </c>
      <c r="G582" s="26"/>
      <c r="H582" s="42"/>
    </row>
    <row r="583" spans="1:8" ht="12.75" customHeight="1">
      <c r="A583" s="27" t="s">
        <v>111</v>
      </c>
      <c r="B583" s="28"/>
      <c r="C583" s="29"/>
      <c r="D583" s="29"/>
      <c r="E583" s="29"/>
      <c r="F583" s="29"/>
      <c r="G583" s="26"/>
      <c r="H583" s="42"/>
    </row>
    <row r="584" spans="1:8" ht="12.75" customHeight="1">
      <c r="A584" s="27">
        <v>46097</v>
      </c>
      <c r="B584" s="28"/>
      <c r="C584" s="30">
        <f>ROUND(96.3140981469328,5)</f>
        <v>96.3141</v>
      </c>
      <c r="D584" s="30">
        <f>F584</f>
        <v>90.99675</v>
      </c>
      <c r="E584" s="30">
        <f>F584</f>
        <v>90.99675</v>
      </c>
      <c r="F584" s="30">
        <f>ROUND(90.9967535759195,5)</f>
        <v>90.99675</v>
      </c>
      <c r="G584" s="26"/>
      <c r="H584" s="42"/>
    </row>
    <row r="585" spans="1:8" ht="12.75" customHeight="1">
      <c r="A585" s="27" t="s">
        <v>112</v>
      </c>
      <c r="B585" s="28"/>
      <c r="C585" s="29"/>
      <c r="D585" s="29"/>
      <c r="E585" s="29"/>
      <c r="F585" s="29"/>
      <c r="G585" s="26"/>
      <c r="H585" s="42"/>
    </row>
    <row r="586" spans="1:8" ht="12.75" customHeight="1">
      <c r="A586" s="27">
        <v>46188</v>
      </c>
      <c r="B586" s="28"/>
      <c r="C586" s="30">
        <f>ROUND(96.3140981469328,5)</f>
        <v>96.3141</v>
      </c>
      <c r="D586" s="30">
        <f>F586</f>
        <v>89.71146</v>
      </c>
      <c r="E586" s="30">
        <f>F586</f>
        <v>89.71146</v>
      </c>
      <c r="F586" s="30">
        <f>ROUND(89.7114574835703,5)</f>
        <v>89.71146</v>
      </c>
      <c r="G586" s="26"/>
      <c r="H586" s="42"/>
    </row>
    <row r="587" spans="1:8" ht="12.75" customHeight="1">
      <c r="A587" s="27" t="s">
        <v>113</v>
      </c>
      <c r="B587" s="28"/>
      <c r="C587" s="29"/>
      <c r="D587" s="29"/>
      <c r="E587" s="29"/>
      <c r="F587" s="29"/>
      <c r="G587" s="26"/>
      <c r="H587" s="42"/>
    </row>
    <row r="588" spans="1:8" ht="12.75" customHeight="1">
      <c r="A588" s="27">
        <v>46286</v>
      </c>
      <c r="B588" s="28"/>
      <c r="C588" s="30">
        <f>ROUND(96.3140981469328,5)</f>
        <v>96.3141</v>
      </c>
      <c r="D588" s="30">
        <f>F588</f>
        <v>91.86494</v>
      </c>
      <c r="E588" s="30">
        <f>F588</f>
        <v>91.86494</v>
      </c>
      <c r="F588" s="30">
        <f>ROUND(91.8649377777536,5)</f>
        <v>91.86494</v>
      </c>
      <c r="G588" s="26"/>
      <c r="H588" s="42"/>
    </row>
    <row r="589" spans="1:8" ht="12.75" customHeight="1">
      <c r="A589" s="27" t="s">
        <v>114</v>
      </c>
      <c r="B589" s="28"/>
      <c r="C589" s="29"/>
      <c r="D589" s="29"/>
      <c r="E589" s="29"/>
      <c r="F589" s="29"/>
      <c r="G589" s="26"/>
      <c r="H589" s="42"/>
    </row>
    <row r="590" spans="1:8" ht="12.75" customHeight="1">
      <c r="A590" s="27">
        <v>46377</v>
      </c>
      <c r="B590" s="28"/>
      <c r="C590" s="30">
        <f>ROUND(96.3140981469328,5)</f>
        <v>96.3141</v>
      </c>
      <c r="D590" s="30">
        <f>F590</f>
        <v>95.66655</v>
      </c>
      <c r="E590" s="30">
        <f>F590</f>
        <v>95.66655</v>
      </c>
      <c r="F590" s="30">
        <f>ROUND(95.6665480090614,5)</f>
        <v>95.66655</v>
      </c>
      <c r="G590" s="26"/>
      <c r="H590" s="42"/>
    </row>
    <row r="591" spans="1:8" ht="12.75" customHeight="1">
      <c r="A591" s="27" t="s">
        <v>115</v>
      </c>
      <c r="B591" s="28"/>
      <c r="C591" s="29"/>
      <c r="D591" s="29"/>
      <c r="E591" s="29"/>
      <c r="F591" s="29"/>
      <c r="G591" s="26"/>
      <c r="H591" s="42"/>
    </row>
    <row r="592" spans="1:8" ht="12.75" customHeight="1">
      <c r="A592" s="27">
        <v>46461</v>
      </c>
      <c r="B592" s="28"/>
      <c r="C592" s="30">
        <f>ROUND(96.3140981469328,5)</f>
        <v>96.3141</v>
      </c>
      <c r="D592" s="30">
        <f>F592</f>
        <v>94.21934</v>
      </c>
      <c r="E592" s="30">
        <f>F592</f>
        <v>94.21934</v>
      </c>
      <c r="F592" s="30">
        <f>ROUND(94.2193354042497,5)</f>
        <v>94.21934</v>
      </c>
      <c r="G592" s="26"/>
      <c r="H592" s="42"/>
    </row>
    <row r="593" spans="1:8" ht="12.75" customHeight="1">
      <c r="A593" s="27" t="s">
        <v>116</v>
      </c>
      <c r="B593" s="28"/>
      <c r="C593" s="29"/>
      <c r="D593" s="29"/>
      <c r="E593" s="29"/>
      <c r="F593" s="29"/>
      <c r="G593" s="26"/>
      <c r="H593" s="42"/>
    </row>
    <row r="594" spans="1:8" ht="12.75" customHeight="1">
      <c r="A594" s="27">
        <v>46559</v>
      </c>
      <c r="B594" s="28"/>
      <c r="C594" s="30">
        <f>ROUND(96.3140981469328,5)</f>
        <v>96.3141</v>
      </c>
      <c r="D594" s="30">
        <f>F594</f>
        <v>96.28983</v>
      </c>
      <c r="E594" s="30">
        <f>F594</f>
        <v>96.28983</v>
      </c>
      <c r="F594" s="30">
        <f>ROUND(96.2898322696467,5)</f>
        <v>96.28983</v>
      </c>
      <c r="G594" s="26"/>
      <c r="H594" s="42"/>
    </row>
    <row r="595" spans="1:8" ht="12.75" customHeight="1">
      <c r="A595" s="27" t="s">
        <v>117</v>
      </c>
      <c r="B595" s="28"/>
      <c r="C595" s="29"/>
      <c r="D595" s="29"/>
      <c r="E595" s="29"/>
      <c r="F595" s="29"/>
      <c r="G595" s="26"/>
      <c r="H595" s="42"/>
    </row>
    <row r="596" spans="1:8" ht="12.75" customHeight="1">
      <c r="A596" s="27">
        <v>46650</v>
      </c>
      <c r="B596" s="28"/>
      <c r="C596" s="30">
        <f>ROUND(96.3140981469328,5)</f>
        <v>96.3141</v>
      </c>
      <c r="D596" s="30">
        <f>F596</f>
        <v>101.76031</v>
      </c>
      <c r="E596" s="30">
        <f>F596</f>
        <v>101.76031</v>
      </c>
      <c r="F596" s="30">
        <f>ROUND(101.760305626321,5)</f>
        <v>101.76031</v>
      </c>
      <c r="G596" s="26"/>
      <c r="H596" s="42"/>
    </row>
    <row r="597" spans="1:8" ht="12.75" customHeight="1">
      <c r="A597" s="27" t="s">
        <v>118</v>
      </c>
      <c r="B597" s="28"/>
      <c r="C597" s="29"/>
      <c r="D597" s="29"/>
      <c r="E597" s="29"/>
      <c r="F597" s="29"/>
      <c r="G597" s="26"/>
      <c r="H597" s="42"/>
    </row>
    <row r="598" spans="1:8" ht="12.75" customHeight="1">
      <c r="A598" s="27">
        <v>46924</v>
      </c>
      <c r="B598" s="28"/>
      <c r="C598" s="26">
        <f>ROUND(96.3140981469328,2)</f>
        <v>96.31</v>
      </c>
      <c r="D598" s="26">
        <f>F598</f>
        <v>102.79</v>
      </c>
      <c r="E598" s="26">
        <f>F598</f>
        <v>102.79</v>
      </c>
      <c r="F598" s="26">
        <f>ROUND(102.794898910592,2)</f>
        <v>102.79</v>
      </c>
      <c r="G598" s="26"/>
      <c r="H598" s="42"/>
    </row>
    <row r="599" spans="1:8" ht="12.75" customHeight="1">
      <c r="A599" s="27" t="s">
        <v>119</v>
      </c>
      <c r="B599" s="28"/>
      <c r="C599" s="29"/>
      <c r="D599" s="29"/>
      <c r="E599" s="29"/>
      <c r="F599" s="29"/>
      <c r="G599" s="26"/>
      <c r="H599" s="42"/>
    </row>
    <row r="600" spans="1:8" ht="12.75" customHeight="1" thickBot="1">
      <c r="A600" s="38">
        <v>47015</v>
      </c>
      <c r="B600" s="39"/>
      <c r="C600" s="40">
        <f>ROUND(96.3140981469328,2)</f>
        <v>96.31</v>
      </c>
      <c r="D600" s="40">
        <f>F600</f>
        <v>96.31</v>
      </c>
      <c r="E600" s="40">
        <f>F600</f>
        <v>96.31</v>
      </c>
      <c r="F600" s="40">
        <f>ROUND(96.3140981469328,2)</f>
        <v>96.31</v>
      </c>
      <c r="G600" s="40"/>
      <c r="H600" s="43"/>
    </row>
  </sheetData>
  <sheetProtection/>
  <mergeCells count="599">
    <mergeCell ref="A595:B595"/>
    <mergeCell ref="A596:B596"/>
    <mergeCell ref="A597:B597"/>
    <mergeCell ref="A598:B598"/>
    <mergeCell ref="A599:B599"/>
    <mergeCell ref="A600:B600"/>
    <mergeCell ref="A589:B589"/>
    <mergeCell ref="A590:B590"/>
    <mergeCell ref="A591:B591"/>
    <mergeCell ref="A592:B592"/>
    <mergeCell ref="A593:B593"/>
    <mergeCell ref="A594:B594"/>
    <mergeCell ref="A583:B583"/>
    <mergeCell ref="A584:B584"/>
    <mergeCell ref="A585:B585"/>
    <mergeCell ref="A586:B586"/>
    <mergeCell ref="A587:B587"/>
    <mergeCell ref="A588:B588"/>
    <mergeCell ref="A577:B577"/>
    <mergeCell ref="A578:B578"/>
    <mergeCell ref="A579:B579"/>
    <mergeCell ref="A580:B580"/>
    <mergeCell ref="A581:B581"/>
    <mergeCell ref="A582:B582"/>
    <mergeCell ref="A571:B571"/>
    <mergeCell ref="A572:B572"/>
    <mergeCell ref="A573:B573"/>
    <mergeCell ref="A574:B574"/>
    <mergeCell ref="A575:B575"/>
    <mergeCell ref="A576:B576"/>
    <mergeCell ref="A565:B565"/>
    <mergeCell ref="A566:B566"/>
    <mergeCell ref="A567:B567"/>
    <mergeCell ref="A568:B568"/>
    <mergeCell ref="A569:B569"/>
    <mergeCell ref="A570:B570"/>
    <mergeCell ref="A559:B559"/>
    <mergeCell ref="A560:B560"/>
    <mergeCell ref="A561:B561"/>
    <mergeCell ref="A562:B562"/>
    <mergeCell ref="A563:B563"/>
    <mergeCell ref="A564:B564"/>
    <mergeCell ref="A553:B553"/>
    <mergeCell ref="A554:B554"/>
    <mergeCell ref="A555:B555"/>
    <mergeCell ref="A556:B556"/>
    <mergeCell ref="A557:B557"/>
    <mergeCell ref="A558:B558"/>
    <mergeCell ref="A547:B547"/>
    <mergeCell ref="A548:B548"/>
    <mergeCell ref="A549:B549"/>
    <mergeCell ref="A550:B550"/>
    <mergeCell ref="A551:B551"/>
    <mergeCell ref="A552:B552"/>
    <mergeCell ref="A541:B541"/>
    <mergeCell ref="A542:B542"/>
    <mergeCell ref="A543:B543"/>
    <mergeCell ref="A544:B544"/>
    <mergeCell ref="A545:B545"/>
    <mergeCell ref="A546:B546"/>
    <mergeCell ref="A535:B535"/>
    <mergeCell ref="A536:B536"/>
    <mergeCell ref="A537:B537"/>
    <mergeCell ref="A538:B538"/>
    <mergeCell ref="A539:B539"/>
    <mergeCell ref="A540:B540"/>
    <mergeCell ref="A529:B529"/>
    <mergeCell ref="A530:B530"/>
    <mergeCell ref="A531:B531"/>
    <mergeCell ref="A532:B532"/>
    <mergeCell ref="A533:B533"/>
    <mergeCell ref="A534:B534"/>
    <mergeCell ref="A523:B523"/>
    <mergeCell ref="A524:B524"/>
    <mergeCell ref="A525:B525"/>
    <mergeCell ref="A526:B526"/>
    <mergeCell ref="A527:B527"/>
    <mergeCell ref="A528:B528"/>
    <mergeCell ref="A517:B517"/>
    <mergeCell ref="A518:B518"/>
    <mergeCell ref="A519:B519"/>
    <mergeCell ref="A520:B520"/>
    <mergeCell ref="A521:B521"/>
    <mergeCell ref="A522:B522"/>
    <mergeCell ref="A511:B511"/>
    <mergeCell ref="A512:B512"/>
    <mergeCell ref="A513:B513"/>
    <mergeCell ref="A514:B514"/>
    <mergeCell ref="A515:B515"/>
    <mergeCell ref="A516:B516"/>
    <mergeCell ref="A505:B505"/>
    <mergeCell ref="A506:B506"/>
    <mergeCell ref="A507:B507"/>
    <mergeCell ref="A508:B508"/>
    <mergeCell ref="A509:B509"/>
    <mergeCell ref="A510:B510"/>
    <mergeCell ref="A500:B500"/>
    <mergeCell ref="A501:B501"/>
    <mergeCell ref="A502:B502"/>
    <mergeCell ref="A503:B503"/>
    <mergeCell ref="A504:B504"/>
    <mergeCell ref="A499:B499"/>
    <mergeCell ref="A493:B493"/>
    <mergeCell ref="A494:B494"/>
    <mergeCell ref="A495:B495"/>
    <mergeCell ref="A496:B496"/>
    <mergeCell ref="A497:B497"/>
    <mergeCell ref="A498:B498"/>
    <mergeCell ref="A487:B487"/>
    <mergeCell ref="A488:B488"/>
    <mergeCell ref="A489:B489"/>
    <mergeCell ref="A490:B490"/>
    <mergeCell ref="A491:B491"/>
    <mergeCell ref="A492:B492"/>
    <mergeCell ref="A481:B481"/>
    <mergeCell ref="A482:B482"/>
    <mergeCell ref="A483:B483"/>
    <mergeCell ref="A484:B484"/>
    <mergeCell ref="A485:B485"/>
    <mergeCell ref="A486:B486"/>
    <mergeCell ref="A475:B475"/>
    <mergeCell ref="A476:B476"/>
    <mergeCell ref="A477:B477"/>
    <mergeCell ref="A478:B478"/>
    <mergeCell ref="A479:B479"/>
    <mergeCell ref="A480:B480"/>
    <mergeCell ref="A469:B469"/>
    <mergeCell ref="A470:B470"/>
    <mergeCell ref="A471:B471"/>
    <mergeCell ref="A472:B472"/>
    <mergeCell ref="A473:B473"/>
    <mergeCell ref="A474:B474"/>
    <mergeCell ref="A463:B463"/>
    <mergeCell ref="A464:B464"/>
    <mergeCell ref="A465:B465"/>
    <mergeCell ref="A466:B466"/>
    <mergeCell ref="A467:B467"/>
    <mergeCell ref="A468:B468"/>
    <mergeCell ref="A457:B457"/>
    <mergeCell ref="A458:B458"/>
    <mergeCell ref="A459:B459"/>
    <mergeCell ref="A460:B460"/>
    <mergeCell ref="A461:B461"/>
    <mergeCell ref="A462:B462"/>
    <mergeCell ref="A451:B451"/>
    <mergeCell ref="A452:B452"/>
    <mergeCell ref="A453:B453"/>
    <mergeCell ref="A454:B454"/>
    <mergeCell ref="A455:B455"/>
    <mergeCell ref="A456:B456"/>
    <mergeCell ref="A445:B445"/>
    <mergeCell ref="A446:B446"/>
    <mergeCell ref="A447:B447"/>
    <mergeCell ref="A448:B448"/>
    <mergeCell ref="A449:B449"/>
    <mergeCell ref="A450:B450"/>
    <mergeCell ref="A439:B439"/>
    <mergeCell ref="A440:B440"/>
    <mergeCell ref="A441:B441"/>
    <mergeCell ref="A442:B442"/>
    <mergeCell ref="A443:B443"/>
    <mergeCell ref="A444:B444"/>
    <mergeCell ref="A433:B433"/>
    <mergeCell ref="A434:B434"/>
    <mergeCell ref="A435:B435"/>
    <mergeCell ref="A436:B436"/>
    <mergeCell ref="A437:B437"/>
    <mergeCell ref="A438:B438"/>
    <mergeCell ref="A427:B427"/>
    <mergeCell ref="A428:B428"/>
    <mergeCell ref="A429:B429"/>
    <mergeCell ref="A430:B430"/>
    <mergeCell ref="A431:B431"/>
    <mergeCell ref="A432:B432"/>
    <mergeCell ref="A421:B421"/>
    <mergeCell ref="A422:B422"/>
    <mergeCell ref="A423:B423"/>
    <mergeCell ref="A424:B424"/>
    <mergeCell ref="A425:B425"/>
    <mergeCell ref="A426:B426"/>
    <mergeCell ref="A415:B415"/>
    <mergeCell ref="A416:B416"/>
    <mergeCell ref="A417:B417"/>
    <mergeCell ref="A418:B418"/>
    <mergeCell ref="A419:B419"/>
    <mergeCell ref="A420:B420"/>
    <mergeCell ref="A409:B409"/>
    <mergeCell ref="A410:B410"/>
    <mergeCell ref="A411:B411"/>
    <mergeCell ref="A412:B412"/>
    <mergeCell ref="A413:B413"/>
    <mergeCell ref="A414:B414"/>
    <mergeCell ref="A403:B403"/>
    <mergeCell ref="A404:B404"/>
    <mergeCell ref="A405:B405"/>
    <mergeCell ref="A406:B406"/>
    <mergeCell ref="A407:B407"/>
    <mergeCell ref="A408:B408"/>
    <mergeCell ref="A397:B397"/>
    <mergeCell ref="A398:B398"/>
    <mergeCell ref="A399:B399"/>
    <mergeCell ref="A400:B400"/>
    <mergeCell ref="A401:B401"/>
    <mergeCell ref="A402:B402"/>
    <mergeCell ref="A391:B391"/>
    <mergeCell ref="A392:B392"/>
    <mergeCell ref="A393:B393"/>
    <mergeCell ref="A394:B394"/>
    <mergeCell ref="A395:B395"/>
    <mergeCell ref="A396:B396"/>
    <mergeCell ref="A385:B385"/>
    <mergeCell ref="A386:B386"/>
    <mergeCell ref="A387:B387"/>
    <mergeCell ref="A388:B388"/>
    <mergeCell ref="A389:B389"/>
    <mergeCell ref="A390:B390"/>
    <mergeCell ref="A379:B379"/>
    <mergeCell ref="A380:B380"/>
    <mergeCell ref="A381:B381"/>
    <mergeCell ref="A382:B382"/>
    <mergeCell ref="A383:B383"/>
    <mergeCell ref="A384:B384"/>
    <mergeCell ref="A373:B373"/>
    <mergeCell ref="A374:B374"/>
    <mergeCell ref="A375:B375"/>
    <mergeCell ref="A376:B376"/>
    <mergeCell ref="A377:B377"/>
    <mergeCell ref="A378:B378"/>
    <mergeCell ref="A367:B367"/>
    <mergeCell ref="A368:B368"/>
    <mergeCell ref="A369:B369"/>
    <mergeCell ref="A370:B370"/>
    <mergeCell ref="A371:B371"/>
    <mergeCell ref="A372:B372"/>
    <mergeCell ref="A361:B361"/>
    <mergeCell ref="A362:B362"/>
    <mergeCell ref="A363:B363"/>
    <mergeCell ref="A364:B364"/>
    <mergeCell ref="A365:B365"/>
    <mergeCell ref="A366:B366"/>
    <mergeCell ref="A355:B355"/>
    <mergeCell ref="A356:B356"/>
    <mergeCell ref="A357:B357"/>
    <mergeCell ref="A358:B358"/>
    <mergeCell ref="A359:B359"/>
    <mergeCell ref="A360:B360"/>
    <mergeCell ref="A349:B349"/>
    <mergeCell ref="A350:B350"/>
    <mergeCell ref="A351:B351"/>
    <mergeCell ref="A352:B352"/>
    <mergeCell ref="A353:B353"/>
    <mergeCell ref="A354:B354"/>
    <mergeCell ref="A343:B343"/>
    <mergeCell ref="A344:B344"/>
    <mergeCell ref="A345:B345"/>
    <mergeCell ref="A346:B346"/>
    <mergeCell ref="A347:B347"/>
    <mergeCell ref="A348:B348"/>
    <mergeCell ref="A337:B337"/>
    <mergeCell ref="A338:B338"/>
    <mergeCell ref="A339:B339"/>
    <mergeCell ref="A340:B340"/>
    <mergeCell ref="A341:B341"/>
    <mergeCell ref="A342:B342"/>
    <mergeCell ref="A331:B331"/>
    <mergeCell ref="A332:B332"/>
    <mergeCell ref="A333:B333"/>
    <mergeCell ref="A334:B334"/>
    <mergeCell ref="A335:B335"/>
    <mergeCell ref="A336:B336"/>
    <mergeCell ref="A325:B325"/>
    <mergeCell ref="A326:B326"/>
    <mergeCell ref="A327:B327"/>
    <mergeCell ref="A328:B328"/>
    <mergeCell ref="A329:B329"/>
    <mergeCell ref="A330:B330"/>
    <mergeCell ref="A319:B319"/>
    <mergeCell ref="A320:B320"/>
    <mergeCell ref="A321:B321"/>
    <mergeCell ref="A322:B322"/>
    <mergeCell ref="A323:B323"/>
    <mergeCell ref="A324:B324"/>
    <mergeCell ref="A313:B313"/>
    <mergeCell ref="A314:B314"/>
    <mergeCell ref="A315:B315"/>
    <mergeCell ref="A316:B316"/>
    <mergeCell ref="A317:B317"/>
    <mergeCell ref="A318:B318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A205:B205"/>
    <mergeCell ref="A206:B206"/>
    <mergeCell ref="A207:B207"/>
    <mergeCell ref="A208:B208"/>
    <mergeCell ref="A209:B209"/>
    <mergeCell ref="A210:B210"/>
    <mergeCell ref="A199:B199"/>
    <mergeCell ref="A200:B200"/>
    <mergeCell ref="A201:B201"/>
    <mergeCell ref="A202:B202"/>
    <mergeCell ref="A203:B203"/>
    <mergeCell ref="A204:B204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A181:B181"/>
    <mergeCell ref="A182:B182"/>
    <mergeCell ref="A183:B183"/>
    <mergeCell ref="A184:B184"/>
    <mergeCell ref="A185:B185"/>
    <mergeCell ref="A186:B186"/>
    <mergeCell ref="A175:B175"/>
    <mergeCell ref="A176:B176"/>
    <mergeCell ref="A177:B177"/>
    <mergeCell ref="A178:B178"/>
    <mergeCell ref="A179:B179"/>
    <mergeCell ref="A180:B180"/>
    <mergeCell ref="A169:B169"/>
    <mergeCell ref="A170:B170"/>
    <mergeCell ref="A171:B171"/>
    <mergeCell ref="A172:B172"/>
    <mergeCell ref="A173:B173"/>
    <mergeCell ref="A174:B174"/>
    <mergeCell ref="A163:B163"/>
    <mergeCell ref="A164:B164"/>
    <mergeCell ref="A165:B165"/>
    <mergeCell ref="A166:B166"/>
    <mergeCell ref="A167:B167"/>
    <mergeCell ref="A168:B168"/>
    <mergeCell ref="A157:B157"/>
    <mergeCell ref="A158:B158"/>
    <mergeCell ref="A159:B159"/>
    <mergeCell ref="A160:B160"/>
    <mergeCell ref="A161:B161"/>
    <mergeCell ref="A162:B162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15:B115"/>
    <mergeCell ref="A116:B116"/>
    <mergeCell ref="A117:B117"/>
    <mergeCell ref="A118:B118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4:B4"/>
    <mergeCell ref="G1:H1"/>
    <mergeCell ref="G2:H2"/>
    <mergeCell ref="A5:B5"/>
    <mergeCell ref="A6:B6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2019-01-25T15:49:13Z</dcterms:modified>
  <cp:category/>
  <cp:version/>
  <cp:contentType/>
  <cp:contentStatus/>
</cp:coreProperties>
</file>